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workbookProtection workbookPassword="DE31" lockStructure="1"/>
  <bookViews>
    <workbookView xWindow="0" yWindow="0" windowWidth="24825" windowHeight="912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G6" i="4" l="1"/>
  <c r="G14" i="4" l="1"/>
  <c r="G15" i="4"/>
  <c r="H75" i="25"/>
  <c r="G75" i="25"/>
  <c r="G63" i="25" l="1"/>
  <c r="G56" i="25"/>
  <c r="G9" i="4"/>
  <c r="I53" i="17" l="1"/>
  <c r="K89" i="17" l="1"/>
  <c r="K93" i="17"/>
  <c r="J53" i="17"/>
  <c r="H7" i="4"/>
  <c r="I6" i="4"/>
  <c r="I7" i="4"/>
  <c r="H6" i="4"/>
  <c r="J46" i="17"/>
  <c r="G8" i="4" l="1"/>
  <c r="H8" i="4"/>
  <c r="I8" i="4"/>
  <c r="G13" i="4"/>
  <c r="H13" i="4"/>
  <c r="I64" i="17" l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M108" i="14"/>
  <c r="J108" i="14"/>
  <c r="H108" i="14"/>
  <c r="V107" i="14"/>
  <c r="U107" i="14"/>
  <c r="T107" i="14"/>
  <c r="R107" i="14"/>
  <c r="Q107" i="14"/>
  <c r="P107" i="14"/>
  <c r="M107" i="14"/>
  <c r="J107" i="14"/>
  <c r="H107" i="14"/>
  <c r="V105" i="14"/>
  <c r="U105" i="14"/>
  <c r="T105" i="14"/>
  <c r="R105" i="14"/>
  <c r="Q105" i="14"/>
  <c r="P105" i="14"/>
  <c r="M105" i="14"/>
  <c r="J105" i="14"/>
  <c r="H105" i="14"/>
  <c r="V104" i="14"/>
  <c r="U104" i="14"/>
  <c r="T104" i="14"/>
  <c r="R104" i="14"/>
  <c r="Q104" i="14"/>
  <c r="P104" i="14"/>
  <c r="M104" i="14"/>
  <c r="J104" i="14"/>
  <c r="H104" i="14"/>
  <c r="V103" i="14"/>
  <c r="U103" i="14"/>
  <c r="T103" i="14"/>
  <c r="R103" i="14"/>
  <c r="Q103" i="14"/>
  <c r="P103" i="14"/>
  <c r="M103" i="14"/>
  <c r="J103" i="14"/>
  <c r="H103" i="14"/>
  <c r="V102" i="14"/>
  <c r="U102" i="14"/>
  <c r="T102" i="14"/>
  <c r="R102" i="14"/>
  <c r="Q102" i="14"/>
  <c r="P102" i="14"/>
  <c r="M102" i="14"/>
  <c r="J102" i="14"/>
  <c r="H102" i="14"/>
  <c r="V101" i="14"/>
  <c r="U101" i="14"/>
  <c r="T101" i="14"/>
  <c r="R101" i="14"/>
  <c r="Q101" i="14"/>
  <c r="P101" i="14"/>
  <c r="M101" i="14"/>
  <c r="J101" i="14"/>
  <c r="H101" i="14"/>
  <c r="V99" i="14"/>
  <c r="U99" i="14"/>
  <c r="T99" i="14"/>
  <c r="R99" i="14"/>
  <c r="Q99" i="14"/>
  <c r="P99" i="14"/>
  <c r="M99" i="14"/>
  <c r="J99" i="14"/>
  <c r="H99" i="14"/>
  <c r="V98" i="14"/>
  <c r="U98" i="14"/>
  <c r="T98" i="14"/>
  <c r="R98" i="14"/>
  <c r="Q98" i="14"/>
  <c r="P98" i="14"/>
  <c r="M98" i="14"/>
  <c r="J98" i="14"/>
  <c r="H98" i="14"/>
  <c r="V97" i="14"/>
  <c r="U97" i="14"/>
  <c r="T97" i="14"/>
  <c r="R97" i="14"/>
  <c r="Q97" i="14"/>
  <c r="P97" i="14"/>
  <c r="M97" i="14"/>
  <c r="J97" i="14"/>
  <c r="H97" i="14"/>
  <c r="V96" i="14"/>
  <c r="U96" i="14"/>
  <c r="T96" i="14"/>
  <c r="R96" i="14"/>
  <c r="Q96" i="14"/>
  <c r="P96" i="14"/>
  <c r="M96" i="14"/>
  <c r="J96" i="14"/>
  <c r="H96" i="14"/>
  <c r="V95" i="14"/>
  <c r="U95" i="14"/>
  <c r="T95" i="14"/>
  <c r="R95" i="14"/>
  <c r="Q95" i="14"/>
  <c r="P95" i="14"/>
  <c r="M95" i="14"/>
  <c r="J95" i="14"/>
  <c r="H95" i="14"/>
  <c r="V94" i="14"/>
  <c r="U94" i="14"/>
  <c r="T94" i="14"/>
  <c r="R94" i="14"/>
  <c r="Q94" i="14"/>
  <c r="P94" i="14"/>
  <c r="M94" i="14"/>
  <c r="J94" i="14"/>
  <c r="H94" i="14"/>
  <c r="V93" i="14"/>
  <c r="U93" i="14"/>
  <c r="T93" i="14"/>
  <c r="R93" i="14"/>
  <c r="Q93" i="14"/>
  <c r="P93" i="14"/>
  <c r="M93" i="14"/>
  <c r="J93" i="14"/>
  <c r="H93" i="14"/>
  <c r="V88" i="14"/>
  <c r="U88" i="14"/>
  <c r="T88" i="14"/>
  <c r="R88" i="14"/>
  <c r="Q88" i="14"/>
  <c r="P88" i="14"/>
  <c r="M88" i="14"/>
  <c r="J88" i="14"/>
  <c r="H88" i="14"/>
  <c r="V87" i="14"/>
  <c r="U87" i="14"/>
  <c r="T87" i="14"/>
  <c r="R87" i="14"/>
  <c r="Q87" i="14"/>
  <c r="P87" i="14"/>
  <c r="M87" i="14"/>
  <c r="J87" i="14"/>
  <c r="H87" i="14"/>
  <c r="V85" i="14"/>
  <c r="U85" i="14"/>
  <c r="T85" i="14"/>
  <c r="R85" i="14"/>
  <c r="Q85" i="14"/>
  <c r="P85" i="14"/>
  <c r="M85" i="14"/>
  <c r="J85" i="14"/>
  <c r="H85" i="14"/>
  <c r="V84" i="14"/>
  <c r="U84" i="14"/>
  <c r="T84" i="14"/>
  <c r="R84" i="14"/>
  <c r="Q84" i="14"/>
  <c r="P84" i="14"/>
  <c r="M84" i="14"/>
  <c r="J84" i="14"/>
  <c r="H84" i="14"/>
  <c r="V83" i="14"/>
  <c r="U83" i="14"/>
  <c r="T83" i="14"/>
  <c r="R83" i="14"/>
  <c r="Q83" i="14"/>
  <c r="P83" i="14"/>
  <c r="M83" i="14"/>
  <c r="J83" i="14"/>
  <c r="H83" i="14"/>
  <c r="V82" i="14"/>
  <c r="U82" i="14"/>
  <c r="T82" i="14"/>
  <c r="R82" i="14"/>
  <c r="Q82" i="14"/>
  <c r="P82" i="14"/>
  <c r="M82" i="14"/>
  <c r="J82" i="14"/>
  <c r="H82" i="14"/>
  <c r="V81" i="14"/>
  <c r="U81" i="14"/>
  <c r="T81" i="14"/>
  <c r="R81" i="14"/>
  <c r="Q81" i="14"/>
  <c r="P81" i="14"/>
  <c r="M81" i="14"/>
  <c r="J81" i="14"/>
  <c r="H81" i="14"/>
  <c r="V79" i="14"/>
  <c r="U79" i="14"/>
  <c r="T79" i="14"/>
  <c r="R79" i="14"/>
  <c r="Q79" i="14"/>
  <c r="P79" i="14"/>
  <c r="M79" i="14"/>
  <c r="J79" i="14"/>
  <c r="H79" i="14"/>
  <c r="V78" i="14"/>
  <c r="U78" i="14"/>
  <c r="T78" i="14"/>
  <c r="R78" i="14"/>
  <c r="Q78" i="14"/>
  <c r="P78" i="14"/>
  <c r="M78" i="14"/>
  <c r="J78" i="14"/>
  <c r="H78" i="14"/>
  <c r="V77" i="14"/>
  <c r="U77" i="14"/>
  <c r="T77" i="14"/>
  <c r="R77" i="14"/>
  <c r="Q77" i="14"/>
  <c r="P77" i="14"/>
  <c r="M77" i="14"/>
  <c r="J77" i="14"/>
  <c r="H77" i="14"/>
  <c r="V76" i="14"/>
  <c r="U76" i="14"/>
  <c r="T76" i="14"/>
  <c r="R76" i="14"/>
  <c r="Q76" i="14"/>
  <c r="P76" i="14"/>
  <c r="M76" i="14"/>
  <c r="J76" i="14"/>
  <c r="H76" i="14"/>
  <c r="V75" i="14"/>
  <c r="U75" i="14"/>
  <c r="T75" i="14"/>
  <c r="R75" i="14"/>
  <c r="Q75" i="14"/>
  <c r="P75" i="14"/>
  <c r="M75" i="14"/>
  <c r="J75" i="14"/>
  <c r="H75" i="14"/>
  <c r="V74" i="14"/>
  <c r="U74" i="14"/>
  <c r="T74" i="14"/>
  <c r="R74" i="14"/>
  <c r="Q74" i="14"/>
  <c r="P74" i="14"/>
  <c r="M74" i="14"/>
  <c r="J74" i="14"/>
  <c r="H74" i="14"/>
  <c r="V73" i="14"/>
  <c r="U73" i="14"/>
  <c r="T73" i="14"/>
  <c r="R73" i="14"/>
  <c r="Q73" i="14"/>
  <c r="P73" i="14"/>
  <c r="M73" i="14"/>
  <c r="J73" i="14"/>
  <c r="H73" i="14"/>
  <c r="V68" i="14"/>
  <c r="U68" i="14"/>
  <c r="T68" i="14"/>
  <c r="R68" i="14"/>
  <c r="Q68" i="14"/>
  <c r="P68" i="14"/>
  <c r="M68" i="14"/>
  <c r="J68" i="14"/>
  <c r="V67" i="14"/>
  <c r="U67" i="14"/>
  <c r="T67" i="14"/>
  <c r="R67" i="14"/>
  <c r="Q67" i="14"/>
  <c r="P67" i="14"/>
  <c r="M67" i="14"/>
  <c r="J67" i="14"/>
  <c r="V66" i="14"/>
  <c r="U66" i="14"/>
  <c r="T66" i="14"/>
  <c r="R66" i="14"/>
  <c r="Q66" i="14"/>
  <c r="P66" i="14"/>
  <c r="M66" i="14"/>
  <c r="J66" i="14"/>
  <c r="V65" i="14"/>
  <c r="U65" i="14"/>
  <c r="T65" i="14"/>
  <c r="R65" i="14"/>
  <c r="Q65" i="14"/>
  <c r="P65" i="14"/>
  <c r="M65" i="14"/>
  <c r="J65" i="14"/>
  <c r="V64" i="14"/>
  <c r="U64" i="14"/>
  <c r="T64" i="14"/>
  <c r="R64" i="14"/>
  <c r="Q64" i="14"/>
  <c r="P64" i="14"/>
  <c r="M64" i="14"/>
  <c r="J64" i="14"/>
  <c r="V62" i="14"/>
  <c r="U62" i="14"/>
  <c r="T62" i="14"/>
  <c r="R62" i="14"/>
  <c r="Q62" i="14"/>
  <c r="P62" i="14"/>
  <c r="M62" i="14"/>
  <c r="J62" i="14"/>
  <c r="V61" i="14"/>
  <c r="U61" i="14"/>
  <c r="T61" i="14"/>
  <c r="R61" i="14"/>
  <c r="Q61" i="14"/>
  <c r="P61" i="14"/>
  <c r="M61" i="14"/>
  <c r="J61" i="14"/>
  <c r="V60" i="14"/>
  <c r="U60" i="14"/>
  <c r="T60" i="14"/>
  <c r="R60" i="14"/>
  <c r="Q60" i="14"/>
  <c r="P60" i="14"/>
  <c r="M60" i="14"/>
  <c r="J60" i="14"/>
  <c r="V57" i="14"/>
  <c r="U57" i="14"/>
  <c r="T57" i="14"/>
  <c r="R57" i="14"/>
  <c r="Q57" i="14"/>
  <c r="P57" i="14"/>
  <c r="M57" i="14"/>
  <c r="J57" i="14"/>
  <c r="V56" i="14"/>
  <c r="U56" i="14"/>
  <c r="T56" i="14"/>
  <c r="R56" i="14"/>
  <c r="Q56" i="14"/>
  <c r="P56" i="14"/>
  <c r="M56" i="14"/>
  <c r="J56" i="14"/>
  <c r="V55" i="14"/>
  <c r="U55" i="14"/>
  <c r="T55" i="14"/>
  <c r="R55" i="14"/>
  <c r="Q55" i="14"/>
  <c r="P55" i="14"/>
  <c r="M55" i="14"/>
  <c r="J55" i="14"/>
  <c r="V54" i="14"/>
  <c r="U54" i="14"/>
  <c r="T54" i="14"/>
  <c r="R54" i="14"/>
  <c r="Q54" i="14"/>
  <c r="P54" i="14"/>
  <c r="M54" i="14"/>
  <c r="J54" i="14"/>
  <c r="V52" i="14"/>
  <c r="U52" i="14"/>
  <c r="T52" i="14"/>
  <c r="R52" i="14"/>
  <c r="Q52" i="14"/>
  <c r="P52" i="14"/>
  <c r="M52" i="14"/>
  <c r="J52" i="14"/>
  <c r="V50" i="14"/>
  <c r="U50" i="14"/>
  <c r="T50" i="14"/>
  <c r="R50" i="14"/>
  <c r="Q50" i="14"/>
  <c r="P50" i="14"/>
  <c r="M50" i="14"/>
  <c r="J50" i="14"/>
  <c r="V48" i="14"/>
  <c r="U48" i="14"/>
  <c r="T48" i="14"/>
  <c r="R48" i="14"/>
  <c r="Q48" i="14"/>
  <c r="P48" i="14"/>
  <c r="M48" i="14"/>
  <c r="J48" i="14"/>
  <c r="V47" i="14"/>
  <c r="U47" i="14"/>
  <c r="T47" i="14"/>
  <c r="R47" i="14"/>
  <c r="Q47" i="14"/>
  <c r="P47" i="14"/>
  <c r="M47" i="14"/>
  <c r="J47" i="14"/>
  <c r="V46" i="14"/>
  <c r="U46" i="14"/>
  <c r="T46" i="14"/>
  <c r="R46" i="14"/>
  <c r="Q46" i="14"/>
  <c r="P46" i="14"/>
  <c r="M46" i="14"/>
  <c r="J46" i="14"/>
  <c r="V45" i="14"/>
  <c r="U45" i="14"/>
  <c r="T45" i="14"/>
  <c r="R45" i="14"/>
  <c r="Q45" i="14"/>
  <c r="P45" i="14"/>
  <c r="M45" i="14"/>
  <c r="J45" i="14"/>
  <c r="V44" i="14"/>
  <c r="U44" i="14"/>
  <c r="T44" i="14"/>
  <c r="R44" i="14"/>
  <c r="Q44" i="14"/>
  <c r="P44" i="14"/>
  <c r="M44" i="14"/>
  <c r="J44" i="14"/>
  <c r="V43" i="14"/>
  <c r="U43" i="14"/>
  <c r="T43" i="14"/>
  <c r="R43" i="14"/>
  <c r="Q43" i="14"/>
  <c r="P43" i="14"/>
  <c r="M43" i="14"/>
  <c r="J43" i="14"/>
  <c r="V41" i="14"/>
  <c r="U41" i="14"/>
  <c r="T41" i="14"/>
  <c r="R41" i="14"/>
  <c r="Q41" i="14"/>
  <c r="P41" i="14"/>
  <c r="M41" i="14"/>
  <c r="J41" i="14"/>
  <c r="V40" i="14"/>
  <c r="U40" i="14"/>
  <c r="T40" i="14"/>
  <c r="R40" i="14"/>
  <c r="Q40" i="14"/>
  <c r="P40" i="14"/>
  <c r="M40" i="14"/>
  <c r="J40" i="14"/>
  <c r="V37" i="14"/>
  <c r="U37" i="14"/>
  <c r="T37" i="14"/>
  <c r="R37" i="14"/>
  <c r="Q37" i="14"/>
  <c r="P37" i="14"/>
  <c r="M37" i="14"/>
  <c r="J37" i="14"/>
  <c r="V36" i="14"/>
  <c r="U36" i="14"/>
  <c r="T36" i="14"/>
  <c r="R36" i="14"/>
  <c r="Q36" i="14"/>
  <c r="P36" i="14"/>
  <c r="M36" i="14"/>
  <c r="J36" i="14"/>
  <c r="V35" i="14"/>
  <c r="U35" i="14"/>
  <c r="T35" i="14"/>
  <c r="R35" i="14"/>
  <c r="Q35" i="14"/>
  <c r="P35" i="14"/>
  <c r="M35" i="14"/>
  <c r="J35" i="14"/>
  <c r="V34" i="14"/>
  <c r="U34" i="14"/>
  <c r="T34" i="14"/>
  <c r="R34" i="14"/>
  <c r="Q34" i="14"/>
  <c r="P34" i="14"/>
  <c r="M34" i="14"/>
  <c r="J34" i="14"/>
  <c r="V32" i="14"/>
  <c r="U32" i="14"/>
  <c r="T32" i="14"/>
  <c r="R32" i="14"/>
  <c r="Q32" i="14"/>
  <c r="P32" i="14"/>
  <c r="M32" i="14"/>
  <c r="J32" i="14"/>
  <c r="V31" i="14"/>
  <c r="U31" i="14"/>
  <c r="T31" i="14"/>
  <c r="R31" i="14"/>
  <c r="Q31" i="14"/>
  <c r="P31" i="14"/>
  <c r="M31" i="14"/>
  <c r="J31" i="14"/>
  <c r="V29" i="14"/>
  <c r="U29" i="14"/>
  <c r="T29" i="14"/>
  <c r="R29" i="14"/>
  <c r="Q29" i="14"/>
  <c r="P29" i="14"/>
  <c r="M29" i="14"/>
  <c r="J29" i="14"/>
  <c r="V28" i="14"/>
  <c r="U28" i="14"/>
  <c r="T28" i="14"/>
  <c r="R28" i="14"/>
  <c r="Q28" i="14"/>
  <c r="P28" i="14"/>
  <c r="M28" i="14"/>
  <c r="J28" i="14"/>
  <c r="V27" i="14"/>
  <c r="U27" i="14"/>
  <c r="T27" i="14"/>
  <c r="R27" i="14"/>
  <c r="Q27" i="14"/>
  <c r="P27" i="14"/>
  <c r="M27" i="14"/>
  <c r="J27" i="14"/>
  <c r="V26" i="14"/>
  <c r="U26" i="14"/>
  <c r="T26" i="14"/>
  <c r="R26" i="14"/>
  <c r="Q26" i="14"/>
  <c r="P26" i="14"/>
  <c r="M26" i="14"/>
  <c r="J26" i="14"/>
  <c r="V25" i="14"/>
  <c r="U25" i="14"/>
  <c r="T25" i="14"/>
  <c r="R25" i="14"/>
  <c r="Q25" i="14"/>
  <c r="P25" i="14"/>
  <c r="M25" i="14"/>
  <c r="J25" i="14"/>
  <c r="V24" i="14"/>
  <c r="U24" i="14"/>
  <c r="T24" i="14"/>
  <c r="R24" i="14"/>
  <c r="Q24" i="14"/>
  <c r="P24" i="14"/>
  <c r="M24" i="14"/>
  <c r="J24" i="14"/>
  <c r="V22" i="14"/>
  <c r="U22" i="14"/>
  <c r="T22" i="14"/>
  <c r="R22" i="14"/>
  <c r="Q22" i="14"/>
  <c r="P22" i="14"/>
  <c r="M22" i="14"/>
  <c r="J22" i="14"/>
  <c r="V21" i="14"/>
  <c r="U21" i="14"/>
  <c r="T21" i="14"/>
  <c r="R21" i="14"/>
  <c r="Q21" i="14"/>
  <c r="P21" i="14"/>
  <c r="M21" i="14"/>
  <c r="J21" i="14"/>
  <c r="V20" i="14"/>
  <c r="U20" i="14"/>
  <c r="T20" i="14"/>
  <c r="R20" i="14"/>
  <c r="Q20" i="14"/>
  <c r="P20" i="14"/>
  <c r="M20" i="14"/>
  <c r="J20" i="14"/>
  <c r="V18" i="14"/>
  <c r="U18" i="14"/>
  <c r="T18" i="14"/>
  <c r="R18" i="14"/>
  <c r="Q18" i="14"/>
  <c r="P18" i="14"/>
  <c r="M18" i="14"/>
  <c r="J18" i="14"/>
  <c r="V17" i="14"/>
  <c r="U17" i="14"/>
  <c r="T17" i="14"/>
  <c r="R17" i="14"/>
  <c r="Q17" i="14"/>
  <c r="P17" i="14"/>
  <c r="M17" i="14"/>
  <c r="J17" i="14"/>
  <c r="V16" i="14"/>
  <c r="U16" i="14"/>
  <c r="T16" i="14"/>
  <c r="R16" i="14"/>
  <c r="Q16" i="14"/>
  <c r="P16" i="14"/>
  <c r="M16" i="14"/>
  <c r="J16" i="14"/>
  <c r="V14" i="14"/>
  <c r="U14" i="14"/>
  <c r="T14" i="14"/>
  <c r="R14" i="14"/>
  <c r="Q14" i="14"/>
  <c r="P14" i="14"/>
  <c r="M14" i="14"/>
  <c r="J14" i="14"/>
  <c r="V13" i="14"/>
  <c r="U13" i="14"/>
  <c r="T13" i="14"/>
  <c r="R13" i="14"/>
  <c r="Q13" i="14"/>
  <c r="P13" i="14"/>
  <c r="M13" i="14"/>
  <c r="J13" i="14"/>
  <c r="V12" i="14"/>
  <c r="U12" i="14"/>
  <c r="T12" i="14"/>
  <c r="R12" i="14"/>
  <c r="Q12" i="14"/>
  <c r="P12" i="14"/>
  <c r="M12" i="14"/>
  <c r="J12" i="14"/>
  <c r="V11" i="14"/>
  <c r="U11" i="14"/>
  <c r="T11" i="14"/>
  <c r="R11" i="14"/>
  <c r="Q11" i="14"/>
  <c r="P11" i="14"/>
  <c r="M11" i="14"/>
  <c r="J11" i="14"/>
  <c r="V10" i="14"/>
  <c r="U10" i="14"/>
  <c r="T10" i="14"/>
  <c r="R10" i="14"/>
  <c r="Q10" i="14"/>
  <c r="P10" i="14"/>
  <c r="M10" i="14"/>
  <c r="J10" i="14"/>
  <c r="V8" i="14"/>
  <c r="U8" i="14"/>
  <c r="T8" i="14"/>
  <c r="R8" i="14"/>
  <c r="Q8" i="14"/>
  <c r="P8" i="14"/>
  <c r="M8" i="14"/>
  <c r="J8" i="14"/>
  <c r="V7" i="14"/>
  <c r="U7" i="14"/>
  <c r="T7" i="14"/>
  <c r="R7" i="14"/>
  <c r="Q7" i="14"/>
  <c r="P7" i="14"/>
  <c r="M7" i="14"/>
  <c r="J7" i="14"/>
  <c r="V6" i="14"/>
  <c r="U6" i="14"/>
  <c r="T6" i="14"/>
  <c r="R6" i="14"/>
  <c r="Q6" i="14"/>
  <c r="P6" i="14"/>
  <c r="M6" i="14"/>
  <c r="J6" i="14"/>
  <c r="U106" i="14" l="1"/>
  <c r="T92" i="14"/>
  <c r="H100" i="14"/>
  <c r="J100" i="14"/>
  <c r="P106" i="14"/>
  <c r="R106" i="14"/>
  <c r="H106" i="14"/>
  <c r="J106" i="14"/>
  <c r="M106" i="14"/>
  <c r="M92" i="14"/>
  <c r="Q92" i="14"/>
  <c r="U92" i="14"/>
  <c r="P100" i="14"/>
  <c r="R100" i="14"/>
  <c r="T100" i="14"/>
  <c r="V100" i="14"/>
  <c r="Q106" i="14"/>
  <c r="R92" i="14"/>
  <c r="V92" i="14"/>
  <c r="T106" i="14"/>
  <c r="V106" i="14"/>
  <c r="P92" i="14"/>
  <c r="H92" i="14"/>
  <c r="J92" i="14"/>
  <c r="M100" i="14"/>
  <c r="Q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L120" i="13"/>
  <c r="J120" i="13"/>
  <c r="H120" i="13"/>
  <c r="W38" i="13"/>
  <c r="U38" i="13"/>
  <c r="Q38" i="13"/>
  <c r="M38" i="13"/>
  <c r="V79" i="13"/>
  <c r="T79" i="13"/>
  <c r="R79" i="13"/>
  <c r="P79" i="13"/>
  <c r="L79" i="13"/>
  <c r="J79" i="13"/>
  <c r="H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V38" i="13"/>
  <c r="T38" i="13"/>
  <c r="R38" i="13"/>
  <c r="P38" i="13"/>
  <c r="J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J122" i="13"/>
  <c r="W81" i="13"/>
  <c r="J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L52" i="13"/>
  <c r="J52" i="13"/>
  <c r="H52" i="13"/>
  <c r="W39" i="13"/>
  <c r="U39" i="13"/>
  <c r="P39" i="13"/>
  <c r="L39" i="13"/>
  <c r="J39" i="13"/>
  <c r="H39" i="13"/>
  <c r="W37" i="13"/>
  <c r="U37" i="13"/>
  <c r="W121" i="13"/>
  <c r="U121" i="13"/>
  <c r="P121" i="13"/>
  <c r="L121" i="13"/>
  <c r="J121" i="13"/>
  <c r="H121" i="13"/>
  <c r="W119" i="13"/>
  <c r="U119" i="13"/>
  <c r="P119" i="13"/>
  <c r="L119" i="13"/>
  <c r="J119" i="13"/>
  <c r="H119" i="13"/>
  <c r="W118" i="13"/>
  <c r="U118" i="13"/>
  <c r="P118" i="13"/>
  <c r="L118" i="13"/>
  <c r="J118" i="13"/>
  <c r="H118" i="13"/>
  <c r="W93" i="13"/>
  <c r="U93" i="13"/>
  <c r="P93" i="13"/>
  <c r="L93" i="13"/>
  <c r="J93" i="13"/>
  <c r="H93" i="13"/>
  <c r="W80" i="13"/>
  <c r="U80" i="13"/>
  <c r="P80" i="13"/>
  <c r="L80" i="13"/>
  <c r="J80" i="13"/>
  <c r="H80" i="13"/>
  <c r="W78" i="13"/>
  <c r="U78" i="13"/>
  <c r="P78" i="13"/>
  <c r="L78" i="13"/>
  <c r="J78" i="13"/>
  <c r="H78" i="13"/>
  <c r="W77" i="13"/>
  <c r="U77" i="13"/>
  <c r="P77" i="13"/>
  <c r="L77" i="13"/>
  <c r="J77" i="13"/>
  <c r="H77" i="13"/>
  <c r="T52" i="13"/>
  <c r="Q52" i="13"/>
  <c r="M52" i="13"/>
  <c r="T39" i="13"/>
  <c r="Q39" i="13"/>
  <c r="M39" i="13"/>
  <c r="P37" i="13"/>
  <c r="L37" i="13"/>
  <c r="J37" i="13"/>
  <c r="H37" i="13"/>
  <c r="W36" i="13"/>
  <c r="U36" i="13"/>
  <c r="P36" i="13"/>
  <c r="L36" i="13"/>
  <c r="J36" i="13"/>
  <c r="H36" i="13"/>
  <c r="W11" i="13"/>
  <c r="U11" i="13"/>
  <c r="P11" i="13"/>
  <c r="L11" i="13"/>
  <c r="J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67" i="14" l="1"/>
  <c r="O65" i="14"/>
  <c r="O62" i="14"/>
  <c r="O60" i="14"/>
  <c r="O56" i="14"/>
  <c r="O54" i="14"/>
  <c r="O50" i="14"/>
  <c r="O47" i="14"/>
  <c r="O45" i="14"/>
  <c r="O43" i="14"/>
  <c r="O40" i="14"/>
  <c r="O36" i="14"/>
  <c r="O34" i="14"/>
  <c r="O31" i="14"/>
  <c r="O28" i="14"/>
  <c r="O26" i="14"/>
  <c r="O24" i="14"/>
  <c r="O21" i="14"/>
  <c r="O18" i="14"/>
  <c r="O16" i="14"/>
  <c r="O13" i="14"/>
  <c r="O11" i="14"/>
  <c r="O8" i="14"/>
  <c r="O6" i="14"/>
  <c r="O20" i="14"/>
  <c r="O7" i="14"/>
  <c r="O68" i="14"/>
  <c r="O66" i="14"/>
  <c r="O64" i="14"/>
  <c r="O61" i="14"/>
  <c r="O57" i="14"/>
  <c r="O55" i="14"/>
  <c r="O52" i="14"/>
  <c r="O48" i="14"/>
  <c r="O46" i="14"/>
  <c r="O44" i="14"/>
  <c r="O41" i="14"/>
  <c r="O37" i="14"/>
  <c r="O35" i="14"/>
  <c r="O32" i="14"/>
  <c r="O29" i="14"/>
  <c r="O27" i="14"/>
  <c r="O25" i="14"/>
  <c r="O22" i="14"/>
  <c r="O17" i="14"/>
  <c r="O14" i="14"/>
  <c r="O12" i="14"/>
  <c r="O10" i="14"/>
  <c r="O105" i="14"/>
  <c r="O101" i="14"/>
  <c r="O96" i="14"/>
  <c r="O88" i="14"/>
  <c r="O83" i="14"/>
  <c r="O78" i="14"/>
  <c r="O74" i="14"/>
  <c r="O77" i="14"/>
  <c r="O73" i="14"/>
  <c r="O107" i="14"/>
  <c r="O102" i="14"/>
  <c r="O97" i="14"/>
  <c r="O93" i="14"/>
  <c r="O84" i="14"/>
  <c r="O79" i="14"/>
  <c r="O75" i="14"/>
  <c r="O108" i="14"/>
  <c r="O103" i="14"/>
  <c r="O98" i="14"/>
  <c r="O94" i="14"/>
  <c r="O85" i="14"/>
  <c r="O81" i="14"/>
  <c r="O76" i="14"/>
  <c r="O104" i="14"/>
  <c r="O99" i="14"/>
  <c r="O95" i="14"/>
  <c r="O87" i="14"/>
  <c r="O82" i="14"/>
  <c r="F67" i="14"/>
  <c r="F62" i="14"/>
  <c r="F56" i="14"/>
  <c r="F50" i="14"/>
  <c r="F45" i="14"/>
  <c r="F40" i="14"/>
  <c r="F34" i="14"/>
  <c r="F28" i="14"/>
  <c r="F24" i="14"/>
  <c r="F18" i="14"/>
  <c r="F13" i="14"/>
  <c r="F8" i="14"/>
  <c r="F7" i="14"/>
  <c r="F68" i="14"/>
  <c r="F64" i="14"/>
  <c r="F57" i="14"/>
  <c r="F52" i="14"/>
  <c r="F46" i="14"/>
  <c r="F41" i="14"/>
  <c r="F35" i="14"/>
  <c r="F29" i="14"/>
  <c r="F25" i="14"/>
  <c r="F20" i="14"/>
  <c r="F14" i="14"/>
  <c r="F10" i="14"/>
  <c r="F16" i="14"/>
  <c r="F11" i="14"/>
  <c r="F66" i="14"/>
  <c r="F61" i="14"/>
  <c r="F55" i="14"/>
  <c r="F48" i="14"/>
  <c r="F27" i="14"/>
  <c r="F12" i="14"/>
  <c r="F65" i="14"/>
  <c r="F60" i="14"/>
  <c r="F54" i="14"/>
  <c r="F47" i="14"/>
  <c r="F43" i="14"/>
  <c r="F36" i="14"/>
  <c r="F31" i="14"/>
  <c r="F26" i="14"/>
  <c r="F21" i="14"/>
  <c r="F6" i="14"/>
  <c r="F44" i="14"/>
  <c r="F37" i="14"/>
  <c r="F32" i="14"/>
  <c r="F22" i="14"/>
  <c r="F1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87" i="14"/>
  <c r="F85" i="14"/>
  <c r="F84" i="14"/>
  <c r="F83" i="14"/>
  <c r="F82" i="14"/>
  <c r="F81" i="14"/>
  <c r="F79" i="14"/>
  <c r="F78" i="14"/>
  <c r="F77" i="14"/>
  <c r="F76" i="14"/>
  <c r="F75" i="14"/>
  <c r="F74" i="14"/>
  <c r="F73" i="14"/>
  <c r="N68" i="14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11" i="14"/>
  <c r="N10" i="14"/>
  <c r="N8" i="14"/>
  <c r="N7" i="14"/>
  <c r="N6" i="14"/>
  <c r="N105" i="14"/>
  <c r="N101" i="14"/>
  <c r="N96" i="14"/>
  <c r="N88" i="14"/>
  <c r="N83" i="14"/>
  <c r="N78" i="14"/>
  <c r="N74" i="14"/>
  <c r="N104" i="14"/>
  <c r="N99" i="14"/>
  <c r="N95" i="14"/>
  <c r="N87" i="14"/>
  <c r="N82" i="14"/>
  <c r="N77" i="14"/>
  <c r="N73" i="14"/>
  <c r="N108" i="14"/>
  <c r="N103" i="14"/>
  <c r="N98" i="14"/>
  <c r="N94" i="14"/>
  <c r="N85" i="14"/>
  <c r="N81" i="14"/>
  <c r="N76" i="14"/>
  <c r="N107" i="14"/>
  <c r="N102" i="14"/>
  <c r="N97" i="14"/>
  <c r="N93" i="14"/>
  <c r="N84" i="14"/>
  <c r="N79" i="14"/>
  <c r="N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O106" i="14" l="1"/>
  <c r="O100" i="14"/>
  <c r="O92" i="14"/>
  <c r="F106" i="14"/>
  <c r="F100" i="14"/>
  <c r="F92" i="14"/>
  <c r="N92" i="14"/>
  <c r="N106" i="14"/>
  <c r="N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120" i="13" l="1"/>
  <c r="N79" i="13"/>
  <c r="N122" i="13"/>
  <c r="N39" i="13"/>
  <c r="N119" i="13"/>
  <c r="N78" i="13"/>
  <c r="N11" i="13"/>
  <c r="N77" i="13"/>
  <c r="N38" i="13"/>
  <c r="N52" i="13"/>
  <c r="N121" i="13"/>
  <c r="N80" i="13"/>
  <c r="N36" i="13"/>
  <c r="N118" i="13"/>
  <c r="N93" i="13"/>
  <c r="N37" i="13"/>
  <c r="N81" i="13"/>
  <c r="K38" i="13"/>
  <c r="K81" i="13"/>
  <c r="K121" i="13"/>
  <c r="K119" i="13"/>
  <c r="K118" i="13"/>
  <c r="K93" i="13"/>
  <c r="K80" i="13"/>
  <c r="K78" i="13"/>
  <c r="K77" i="13"/>
  <c r="K37" i="13"/>
  <c r="K36" i="13"/>
  <c r="K11" i="13"/>
  <c r="K120" i="13"/>
  <c r="K52" i="13"/>
  <c r="K39" i="13"/>
  <c r="K79" i="13"/>
  <c r="K122" i="13"/>
  <c r="I120" i="13"/>
  <c r="I119" i="13"/>
  <c r="I78" i="13"/>
  <c r="I39" i="13"/>
  <c r="I37" i="13"/>
  <c r="I38" i="13"/>
  <c r="I118" i="13"/>
  <c r="I77" i="13"/>
  <c r="I36" i="13"/>
  <c r="I79" i="13"/>
  <c r="I122" i="13"/>
  <c r="I81" i="13"/>
  <c r="I93" i="13"/>
  <c r="I11" i="13"/>
  <c r="I121" i="13"/>
  <c r="I80" i="13"/>
  <c r="I52" i="13"/>
  <c r="S81" i="13"/>
  <c r="S118" i="13"/>
  <c r="S77" i="13"/>
  <c r="S36" i="13"/>
  <c r="S120" i="13"/>
  <c r="S79" i="13"/>
  <c r="S93" i="13"/>
  <c r="S11" i="13"/>
  <c r="S38" i="13"/>
  <c r="S122" i="13"/>
  <c r="S39" i="13"/>
  <c r="S119" i="13"/>
  <c r="S78" i="13"/>
  <c r="S37" i="13"/>
  <c r="S52" i="13"/>
  <c r="S121" i="13"/>
  <c r="S80" i="13"/>
  <c r="F120" i="13"/>
  <c r="F52" i="13"/>
  <c r="F121" i="13"/>
  <c r="F80" i="13"/>
  <c r="F79" i="13"/>
  <c r="F38" i="13"/>
  <c r="F39" i="13"/>
  <c r="F119" i="13"/>
  <c r="F78" i="13"/>
  <c r="F37" i="13"/>
  <c r="F81" i="13"/>
  <c r="F93" i="13"/>
  <c r="F11" i="13"/>
  <c r="F122" i="13"/>
  <c r="F118" i="13"/>
  <c r="F77" i="13"/>
  <c r="F36" i="13"/>
  <c r="G38" i="13"/>
  <c r="G52" i="13"/>
  <c r="G81" i="13"/>
  <c r="G119" i="13"/>
  <c r="G93" i="13"/>
  <c r="G78" i="13"/>
  <c r="G37" i="13"/>
  <c r="G11" i="13"/>
  <c r="G79" i="13"/>
  <c r="G121" i="13"/>
  <c r="G118" i="13"/>
  <c r="G80" i="13"/>
  <c r="G77" i="13"/>
  <c r="G36" i="13"/>
  <c r="G120" i="13"/>
  <c r="G122" i="13"/>
  <c r="G39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78" i="13" l="1"/>
  <c r="D122" i="13"/>
  <c r="D120" i="13"/>
  <c r="D79" i="13"/>
  <c r="D3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08" i="14" l="1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24" i="14"/>
  <c r="E18" i="14"/>
  <c r="E13" i="14"/>
  <c r="E8" i="14"/>
  <c r="E67" i="14"/>
  <c r="E62" i="14"/>
  <c r="E56" i="14"/>
  <c r="E50" i="14"/>
  <c r="E49" i="14" s="1"/>
  <c r="E45" i="14"/>
  <c r="E40" i="14"/>
  <c r="E39" i="14" s="1"/>
  <c r="E34" i="14"/>
  <c r="E2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26" i="14"/>
  <c r="E21" i="14"/>
  <c r="E16" i="14"/>
  <c r="E11" i="14"/>
  <c r="E6" i="14"/>
  <c r="E65" i="14"/>
  <c r="E60" i="14"/>
  <c r="E54" i="14"/>
  <c r="E47" i="14"/>
  <c r="E43" i="14"/>
  <c r="E36" i="14"/>
  <c r="E31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6" i="14"/>
  <c r="G61" i="14"/>
  <c r="G55" i="14"/>
  <c r="G48" i="14"/>
  <c r="G44" i="14"/>
  <c r="G37" i="14"/>
  <c r="G32" i="14"/>
  <c r="G27" i="14"/>
  <c r="G22" i="14"/>
  <c r="G12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20" i="14"/>
  <c r="G14" i="14"/>
  <c r="G10" i="14"/>
  <c r="G24" i="14"/>
  <c r="G17" i="14"/>
  <c r="G68" i="14"/>
  <c r="G64" i="14"/>
  <c r="G57" i="14"/>
  <c r="G52" i="14"/>
  <c r="G46" i="14"/>
  <c r="G41" i="14"/>
  <c r="G35" i="14"/>
  <c r="G29" i="14"/>
  <c r="G25" i="14"/>
  <c r="G34" i="14"/>
  <c r="G28" i="14"/>
  <c r="G13" i="14"/>
  <c r="G67" i="14"/>
  <c r="G62" i="14"/>
  <c r="G56" i="14"/>
  <c r="G50" i="14"/>
  <c r="G49" i="14" s="1"/>
  <c r="G45" i="14"/>
  <c r="G40" i="14"/>
  <c r="G18" i="14"/>
  <c r="G8" i="14"/>
  <c r="G7" i="14"/>
  <c r="S104" i="14"/>
  <c r="S99" i="14"/>
  <c r="S95" i="14"/>
  <c r="S87" i="14"/>
  <c r="S82" i="14"/>
  <c r="S77" i="14"/>
  <c r="S73" i="14"/>
  <c r="S105" i="14"/>
  <c r="S101" i="14"/>
  <c r="S96" i="14"/>
  <c r="S88" i="14"/>
  <c r="S83" i="14"/>
  <c r="S78" i="14"/>
  <c r="S74" i="14"/>
  <c r="S107" i="14"/>
  <c r="S102" i="14"/>
  <c r="S97" i="14"/>
  <c r="S93" i="14"/>
  <c r="S84" i="14"/>
  <c r="S79" i="14"/>
  <c r="S75" i="14"/>
  <c r="S108" i="14"/>
  <c r="S103" i="14"/>
  <c r="S98" i="14"/>
  <c r="S94" i="14"/>
  <c r="S85" i="14"/>
  <c r="S81" i="14"/>
  <c r="S76" i="14"/>
  <c r="S67" i="14"/>
  <c r="S65" i="14"/>
  <c r="S62" i="14"/>
  <c r="S60" i="14"/>
  <c r="S56" i="14"/>
  <c r="S54" i="14"/>
  <c r="S50" i="14"/>
  <c r="S47" i="14"/>
  <c r="S45" i="14"/>
  <c r="S43" i="14"/>
  <c r="S40" i="14"/>
  <c r="S36" i="14"/>
  <c r="S34" i="14"/>
  <c r="S31" i="14"/>
  <c r="S28" i="14"/>
  <c r="S26" i="14"/>
  <c r="S24" i="14"/>
  <c r="S21" i="14"/>
  <c r="S18" i="14"/>
  <c r="S16" i="14"/>
  <c r="S13" i="14"/>
  <c r="S11" i="14"/>
  <c r="S8" i="14"/>
  <c r="S6" i="14"/>
  <c r="S27" i="14"/>
  <c r="S22" i="14"/>
  <c r="S17" i="14"/>
  <c r="S12" i="14"/>
  <c r="S7" i="14"/>
  <c r="S68" i="14"/>
  <c r="S66" i="14"/>
  <c r="S64" i="14"/>
  <c r="S61" i="14"/>
  <c r="S57" i="14"/>
  <c r="S55" i="14"/>
  <c r="S52" i="14"/>
  <c r="S48" i="14"/>
  <c r="S46" i="14"/>
  <c r="S44" i="14"/>
  <c r="S41" i="14"/>
  <c r="S37" i="14"/>
  <c r="S35" i="14"/>
  <c r="S32" i="14"/>
  <c r="S29" i="14"/>
  <c r="S25" i="14"/>
  <c r="S20" i="14"/>
  <c r="S14" i="14"/>
  <c r="S10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28" i="14"/>
  <c r="K18" i="14"/>
  <c r="K13" i="14"/>
  <c r="K52" i="14"/>
  <c r="K25" i="14"/>
  <c r="K14" i="14"/>
  <c r="K10" i="14"/>
  <c r="K21" i="14"/>
  <c r="K67" i="14"/>
  <c r="K62" i="14"/>
  <c r="K56" i="14"/>
  <c r="K50" i="14"/>
  <c r="K45" i="14"/>
  <c r="K40" i="14"/>
  <c r="K34" i="14"/>
  <c r="K24" i="14"/>
  <c r="K8" i="14"/>
  <c r="K46" i="14"/>
  <c r="K36" i="14"/>
  <c r="K31" i="14"/>
  <c r="K11" i="14"/>
  <c r="K68" i="14"/>
  <c r="K64" i="14"/>
  <c r="K57" i="14"/>
  <c r="K41" i="14"/>
  <c r="K35" i="14"/>
  <c r="K29" i="14"/>
  <c r="K20" i="14"/>
  <c r="K26" i="14"/>
  <c r="K16" i="14"/>
  <c r="K65" i="14"/>
  <c r="K60" i="14"/>
  <c r="K54" i="14"/>
  <c r="K47" i="14"/>
  <c r="K43" i="14"/>
  <c r="K6" i="14"/>
  <c r="I108" i="14"/>
  <c r="I103" i="14"/>
  <c r="I98" i="14"/>
  <c r="I94" i="14"/>
  <c r="I85" i="14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104" i="14"/>
  <c r="I99" i="14"/>
  <c r="I95" i="14"/>
  <c r="I87" i="14"/>
  <c r="I82" i="14"/>
  <c r="I77" i="14"/>
  <c r="I73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D55" i="14" s="1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E30" i="14" l="1"/>
  <c r="E42" i="14"/>
  <c r="E106" i="14"/>
  <c r="E100" i="14"/>
  <c r="E33" i="14"/>
  <c r="E92" i="14"/>
  <c r="G9" i="14"/>
  <c r="D62" i="14"/>
  <c r="D18" i="14"/>
  <c r="D25" i="14"/>
  <c r="G59" i="14"/>
  <c r="G86" i="14"/>
  <c r="G92" i="14"/>
  <c r="G100" i="14"/>
  <c r="G106" i="14"/>
  <c r="D32" i="14"/>
  <c r="D95" i="14"/>
  <c r="D31" i="14"/>
  <c r="D85" i="14"/>
  <c r="D108" i="14"/>
  <c r="D54" i="14"/>
  <c r="W39" i="14"/>
  <c r="D28" i="14"/>
  <c r="D48" i="14"/>
  <c r="D68" i="14"/>
  <c r="D29" i="14"/>
  <c r="D41" i="14"/>
  <c r="K59" i="14"/>
  <c r="D27" i="14"/>
  <c r="D61" i="14"/>
  <c r="D17" i="14"/>
  <c r="D37" i="14"/>
  <c r="D83" i="14"/>
  <c r="D22" i="14"/>
  <c r="D44" i="14"/>
  <c r="D66" i="14"/>
  <c r="D56" i="14"/>
  <c r="D35" i="14"/>
  <c r="D75" i="14"/>
  <c r="D45" i="14"/>
  <c r="D67" i="14"/>
  <c r="D46" i="14"/>
  <c r="I106" i="14"/>
  <c r="D57" i="14"/>
  <c r="I86" i="14"/>
  <c r="D102" i="14"/>
  <c r="D103" i="14"/>
  <c r="S59" i="14"/>
  <c r="S86" i="14"/>
  <c r="K100" i="14"/>
  <c r="S106" i="14"/>
  <c r="S92" i="14"/>
  <c r="S100" i="14"/>
  <c r="D6" i="14"/>
  <c r="D60" i="14"/>
  <c r="D36" i="14"/>
  <c r="D21" i="14"/>
  <c r="D43" i="14"/>
  <c r="D65" i="14"/>
  <c r="D20" i="14"/>
  <c r="D16" i="14"/>
  <c r="D26" i="14"/>
  <c r="D47" i="14"/>
  <c r="K86" i="14"/>
  <c r="K92" i="14"/>
  <c r="K106" i="14"/>
  <c r="I59" i="14"/>
  <c r="I100" i="14"/>
  <c r="I92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<sst xmlns="http://schemas.openxmlformats.org/spreadsheetml/2006/main" count="5257" uniqueCount="2400">
  <si>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</si>
  <si>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</si>
  <si>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</si>
  <si>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</si>
  <si>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</si>
  <si>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</si>
  <si>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</si>
  <si>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</si>
  <si>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</si>
  <si>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</si>
  <si>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</si>
  <si>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</si>
  <si>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</si>
  <si>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</si>
  <si>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</si>
  <si>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</si>
  <si>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</si>
  <si>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</si>
  <si>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</si>
  <si>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</si>
  <si>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</si>
  <si>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</si>
  <si>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</si>
  <si>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</si>
  <si>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</si>
  <si>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</si>
  <si>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</si>
  <si>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</si>
  <si>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</si>
  <si>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</si>
  <si>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</si>
  <si>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</si>
  <si>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</si>
  <si>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</si>
  <si>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</si>
  <si>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</si>
  <si>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</si>
  <si>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</si>
  <si>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</si>
  <si>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</si>
  <si>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</si>
  <si>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</si>
  <si>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</si>
  <si>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</si>
  <si>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</si>
  <si>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</si>
  <si>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</si>
  <si>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</si>
  <si>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</si>
  <si>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</si>
  <si>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</si>
  <si>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</si>
  <si>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</si>
  <si>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</si>
  <si>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</si>
  <si>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</si>
  <si>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</si>
  <si>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</si>
  <si>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</si>
  <si>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</si>
  <si>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</si>
  <si>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</si>
  <si>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</si>
  <si>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</si>
  <si>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</si>
  <si>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</si>
  <si>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</si>
  <si>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</si>
  <si>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</si>
  <si>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</si>
  <si>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</si>
  <si>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</si>
  <si>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</si>
  <si>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</si>
  <si>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</si>
  <si>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</si>
  <si>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</si>
  <si>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</si>
  <si>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</si>
  <si>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</si>
  <si>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</si>
  <si>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</si>
  <si>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</si>
  <si>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</si>
  <si>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</si>
  <si>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</si>
  <si>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</si>
  <si>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</si>
  <si>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</si>
  <si>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</si>
  <si>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</si>
  <si>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</si>
  <si>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</si>
  <si>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</si>
  <si>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</si>
  <si>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</si>
  <si>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</si>
  <si>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</si>
  <si>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</si>
  <si>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</si>
  <si>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</si>
  <si>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</si>
  <si>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</si>
  <si>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</si>
  <si>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</si>
  <si>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</si>
  <si>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</si>
  <si>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</si>
  <si>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</si>
  <si>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</si>
  <si>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</si>
  <si>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</si>
  <si>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</si>
  <si>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</si>
  <si>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</si>
  <si>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</si>
  <si>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</si>
  <si>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</si>
  <si>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</si>
  <si>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</si>
  <si>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</si>
  <si>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</si>
  <si>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</si>
  <si>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</si>
  <si>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</si>
  <si>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</si>
  <si>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</si>
  <si>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</si>
  <si>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</si>
  <si>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</si>
  <si>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</si>
  <si>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</si>
  <si>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</si>
  <si>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</si>
  <si>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</si>
  <si>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</si>
  <si>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</si>
  <si>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</si>
  <si>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</si>
  <si>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</si>
  <si>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</si>
  <si>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</si>
  <si>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</si>
  <si>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</si>
  <si>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</si>
  <si>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</si>
  <si>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</si>
  <si>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</si>
  <si>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</si>
  <si>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</si>
  <si>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</si>
  <si>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</si>
  <si>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</si>
  <si>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</si>
  <si>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</si>
  <si>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</si>
  <si>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</si>
  <si>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</si>
  <si>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</si>
  <si>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</si>
  <si>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</si>
  <si>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</si>
  <si>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</si>
  <si>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</si>
  <si>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</si>
  <si>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</si>
  <si>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</si>
  <si>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</si>
  <si>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</si>
  <si>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</si>
  <si>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</si>
  <si>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</si>
  <si>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</si>
  <si>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</si>
  <si>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</si>
  <si>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</si>
  <si>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</si>
  <si>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</si>
  <si>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</si>
  <si>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</si>
  <si>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</si>
  <si>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</si>
  <si>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</si>
  <si>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</si>
  <si>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</si>
  <si>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</si>
  <si>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</si>
  <si>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</si>
  <si>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</si>
  <si>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</si>
  <si>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</si>
  <si>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</si>
  <si>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</si>
  <si>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</si>
  <si>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</si>
  <si>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</si>
  <si>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</si>
  <si>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</si>
  <si>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</si>
  <si>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</si>
  <si>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</si>
  <si>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</si>
  <si>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</si>
  <si>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</si>
  <si>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</si>
  <si>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</si>
  <si>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</si>
  <si>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</si>
  <si>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</si>
  <si>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</si>
  <si>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</si>
  <si>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</si>
  <si>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</si>
  <si>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</si>
  <si>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</si>
  <si>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</si>
  <si>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</si>
  <si>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</si>
  <si>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</si>
  <si>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</si>
  <si>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</si>
  <si>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</si>
  <si>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</si>
  <si>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</si>
  <si>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</si>
  <si>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</si>
  <si>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</si>
  <si>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</si>
  <si>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</si>
  <si>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</si>
  <si>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</si>
  <si>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</si>
  <si>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</si>
  <si>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</si>
  <si>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</si>
  <si>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</si>
  <si>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</si>
  <si>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</si>
  <si>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</si>
  <si>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</si>
  <si>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</si>
  <si>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</si>
  <si>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</si>
  <si>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</si>
  <si>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</si>
  <si>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</si>
  <si>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</si>
  <si>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</si>
  <si>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</si>
  <si>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</si>
  <si>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</si>
  <si>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</si>
  <si>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</si>
  <si>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</si>
  <si>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</si>
  <si>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</si>
  <si>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</si>
  <si>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</si>
  <si>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</si>
  <si>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</si>
  <si>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</si>
  <si>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</si>
  <si>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</si>
  <si>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</si>
  <si>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</si>
  <si>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</si>
  <si>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</si>
  <si>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</si>
  <si>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</si>
  <si>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</si>
  <si>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</si>
  <si>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</si>
  <si>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</si>
  <si>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</si>
  <si>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</si>
  <si>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</si>
  <si>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</si>
  <si>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</si>
  <si>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</si>
  <si>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</si>
  <si>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</si>
  <si>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</si>
  <si>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</si>
  <si>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</si>
  <si>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</si>
  <si>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</si>
  <si>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</si>
  <si>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</si>
  <si>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</si>
  <si>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</si>
  <si>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</si>
  <si>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</si>
  <si>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</si>
  <si>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</si>
  <si>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</si>
  <si>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</si>
  <si>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</si>
  <si>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</si>
  <si>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</si>
  <si>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</si>
  <si>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</si>
  <si>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</si>
  <si>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</si>
  <si>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</si>
  <si>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</si>
  <si>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</si>
  <si>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</si>
  <si>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</si>
  <si>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</si>
  <si>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</si>
  <si>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</si>
  <si>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</si>
  <si>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</si>
  <si>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</si>
  <si>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</si>
  <si>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</si>
  <si>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</si>
  <si>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</si>
  <si>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</si>
  <si>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</si>
  <si>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</si>
  <si>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</si>
  <si>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</si>
  <si>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</si>
  <si>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</si>
  <si>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</si>
  <si>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</si>
  <si>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</si>
  <si>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</si>
  <si>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</si>
  <si>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</si>
  <si>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</si>
  <si>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</si>
  <si>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</si>
  <si>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</si>
  <si>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</si>
  <si>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</si>
  <si>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</si>
  <si>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</si>
  <si>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</si>
  <si>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</si>
  <si>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</si>
  <si>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</si>
  <si>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</si>
  <si>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</si>
  <si>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</si>
  <si>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</si>
  <si>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</si>
  <si>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</si>
  <si>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</si>
  <si>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</si>
  <si>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</si>
  <si>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</si>
  <si>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</si>
  <si>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</si>
  <si>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</si>
  <si>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</si>
  <si>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</si>
  <si>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</si>
  <si>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</si>
  <si>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</si>
  <si>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</si>
  <si>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</si>
  <si>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</si>
  <si>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</si>
  <si>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</si>
  <si>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</si>
  <si>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</si>
  <si>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</si>
  <si>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</si>
  <si>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</si>
  <si>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</si>
  <si>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</si>
  <si>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</si>
  <si>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</si>
  <si>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</si>
  <si>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</si>
  <si>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</si>
  <si>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</si>
  <si>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</si>
  <si>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</si>
  <si>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</si>
  <si>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</si>
  <si>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</si>
  <si>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</si>
  <si>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</si>
  <si>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</si>
  <si>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</si>
  <si>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</si>
  <si>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</si>
  <si>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</si>
  <si>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</si>
  <si>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</si>
  <si>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</si>
  <si>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</si>
  <si>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</si>
  <si>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</si>
  <si>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</si>
  <si>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</si>
  <si>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</si>
  <si>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</si>
  <si>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</si>
  <si>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</si>
  <si>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</si>
  <si>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</si>
  <si>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</si>
  <si>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</si>
  <si>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</si>
  <si>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</si>
  <si>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</si>
  <si>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</si>
  <si>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</si>
  <si>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</si>
  <si>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</si>
  <si>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</si>
  <si>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</si>
  <si>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</si>
  <si>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</si>
  <si>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</si>
  <si>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</si>
  <si>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</si>
  <si>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</si>
  <si>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</si>
  <si>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</si>
  <si>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</si>
  <si>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</si>
  <si>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</si>
  <si>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</si>
  <si>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</si>
  <si>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</si>
  <si>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</si>
  <si>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</si>
  <si>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</si>
  <si>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</si>
  <si>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</si>
  <si>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</si>
  <si>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</si>
  <si>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</si>
  <si>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</si>
  <si>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</si>
  <si>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</si>
  <si>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</si>
  <si>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</si>
  <si>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</si>
  <si>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</si>
  <si>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</si>
  <si>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</si>
  <si>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</si>
  <si>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</si>
  <si>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</si>
  <si>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</si>
  <si>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</si>
  <si>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</si>
  <si>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</si>
  <si>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</si>
  <si>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</si>
  <si>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</si>
  <si>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</si>
  <si>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</si>
  <si>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</si>
  <si>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</si>
  <si>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</si>
  <si>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</si>
  <si>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</si>
  <si>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</si>
  <si>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</si>
  <si>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</si>
  <si>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</si>
  <si>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</si>
  <si>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</si>
  <si>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</si>
  <si>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</si>
  <si>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</si>
  <si>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</si>
  <si>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</si>
  <si>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</si>
  <si>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</si>
  <si>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</si>
  <si>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</si>
  <si>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</si>
  <si>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</si>
  <si>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</si>
  <si>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</si>
  <si>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</si>
  <si>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</si>
  <si>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</si>
  <si>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</si>
  <si>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</si>
  <si>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</si>
  <si>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</si>
  <si>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</si>
  <si>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</si>
  <si>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</si>
  <si>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</si>
  <si>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</si>
  <si>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</si>
  <si>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</si>
  <si>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</si>
  <si>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</si>
  <si>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</si>
  <si>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</si>
  <si>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</si>
  <si>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</si>
  <si>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</si>
  <si>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</si>
  <si>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</si>
  <si>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</si>
  <si>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</si>
  <si>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</si>
  <si>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</si>
  <si>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</si>
  <si>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</si>
  <si>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</si>
  <si>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</si>
  <si>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</si>
  <si>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</si>
  <si>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</si>
  <si>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</si>
  <si>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</si>
  <si>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</si>
  <si>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</si>
  <si>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</si>
  <si>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</si>
  <si>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</si>
  <si>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</si>
  <si>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</si>
  <si>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</si>
  <si>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</si>
  <si>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</si>
  <si>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</si>
  <si>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</si>
  <si>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</si>
  <si>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</si>
  <si>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</si>
  <si>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</si>
  <si>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</si>
  <si>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</si>
  <si>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</si>
  <si>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</si>
  <si>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</si>
  <si>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</si>
  <si>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</si>
  <si>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</si>
  <si>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</si>
  <si>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</si>
  <si>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</si>
  <si>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</si>
  <si>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</si>
  <si>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</si>
  <si>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</si>
  <si>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</si>
  <si>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</si>
  <si>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</si>
  <si>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</si>
  <si>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</si>
  <si>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</si>
  <si>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</si>
  <si>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</si>
  <si>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</si>
  <si>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</si>
  <si>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</si>
  <si>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</si>
  <si>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</si>
  <si>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</si>
  <si>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</si>
  <si>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</si>
  <si>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</si>
  <si>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</si>
  <si>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</si>
  <si>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</si>
  <si>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</si>
  <si>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</si>
  <si>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</si>
  <si>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</si>
  <si>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</si>
  <si>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</si>
  <si>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</si>
  <si>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</si>
  <si>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</si>
  <si>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</si>
  <si>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</si>
  <si>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</si>
  <si>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</si>
  <si>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</si>
  <si>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</si>
  <si>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</si>
  <si>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</si>
  <si>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</si>
  <si>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</si>
  <si>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</si>
  <si>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</si>
  <si>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</si>
  <si>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</si>
  <si>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</si>
  <si>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</si>
  <si>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</si>
  <si>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</si>
  <si>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</si>
  <si>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</si>
  <si>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</si>
  <si>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</si>
  <si>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</si>
  <si>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</si>
  <si>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</si>
  <si>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</si>
  <si>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</si>
  <si>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</si>
  <si>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</si>
  <si>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</si>
  <si>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</si>
  <si>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</si>
  <si>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</si>
  <si>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</si>
  <si>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</si>
  <si>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</si>
  <si>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</si>
  <si>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</si>
  <si>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</si>
  <si>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</si>
  <si>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</si>
  <si>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</si>
  <si>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</si>
  <si>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</si>
  <si>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</si>
  <si>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</si>
  <si>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</si>
  <si>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</si>
  <si>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</si>
  <si>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</si>
  <si>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</si>
  <si>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</si>
  <si>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</si>
  <si>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</si>
  <si>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</si>
  <si>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</si>
  <si>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</si>
  <si>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</si>
  <si>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</si>
  <si>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</si>
  <si>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</si>
  <si>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</si>
  <si>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</si>
  <si>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</si>
  <si>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</si>
  <si>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</si>
  <si>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</si>
  <si>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</si>
  <si>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</si>
  <si>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</si>
  <si>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</si>
  <si>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</si>
  <si>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</si>
  <si>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</si>
  <si>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</si>
  <si>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</si>
  <si>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</si>
  <si>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</si>
  <si>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</si>
  <si>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</si>
  <si>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</si>
  <si>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</si>
  <si>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</si>
  <si>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</si>
  <si>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</si>
  <si>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</si>
  <si>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</si>
  <si>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</si>
  <si>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</si>
  <si>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</si>
  <si>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</si>
  <si>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</si>
  <si>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</si>
  <si>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</si>
  <si>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</si>
  <si>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</si>
  <si>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</si>
  <si>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</si>
  <si>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</si>
  <si>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</si>
  <si>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</si>
  <si>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</si>
  <si>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</si>
  <si>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</si>
  <si>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</si>
  <si>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</si>
  <si>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</si>
  <si>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</si>
  <si>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</si>
  <si>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</si>
  <si>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</si>
  <si>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</si>
  <si>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</si>
  <si>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</si>
  <si>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</si>
  <si>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</si>
  <si>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</si>
  <si>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</si>
  <si>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</si>
  <si>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</si>
  <si>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</si>
  <si>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</si>
  <si>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</si>
  <si>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</si>
  <si>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</si>
  <si>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</si>
  <si>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</si>
  <si>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</si>
  <si>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</si>
  <si>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</si>
  <si>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</si>
  <si>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</si>
  <si>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</si>
  <si>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</si>
  <si>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</si>
  <si>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</si>
  <si>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</si>
  <si>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</si>
  <si>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</si>
  <si>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</si>
  <si>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</si>
  <si>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</si>
  <si>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</si>
  <si>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</si>
  <si>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</si>
  <si>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</si>
  <si>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</si>
  <si>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</si>
  <si>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</si>
  <si>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</si>
  <si>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</si>
  <si>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</si>
  <si>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</si>
  <si>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</si>
  <si>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</si>
  <si>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</si>
  <si>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</si>
  <si>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</si>
  <si>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</si>
  <si>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</si>
  <si>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</si>
  <si>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</si>
  <si>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</si>
  <si>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</si>
  <si>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</si>
  <si>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</si>
  <si>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</si>
  <si>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</si>
  <si>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</si>
  <si>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</si>
  <si>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</si>
  <si>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</si>
  <si>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</si>
  <si>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</si>
  <si>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</si>
  <si>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</si>
  <si>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</si>
  <si>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</si>
  <si>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</si>
  <si>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</si>
  <si>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</si>
  <si>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</si>
  <si>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</si>
  <si>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</si>
  <si>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</si>
  <si>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</si>
  <si>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</si>
  <si>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</si>
  <si>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</si>
  <si>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</si>
  <si>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</si>
  <si>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</si>
  <si>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</si>
  <si>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</si>
  <si>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</si>
  <si>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</si>
  <si>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</si>
  <si>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</si>
  <si>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</si>
  <si>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</si>
  <si>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</si>
  <si>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</si>
  <si>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</si>
  <si>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</si>
  <si>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</si>
  <si>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</si>
  <si>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</si>
  <si>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</si>
  <si>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</si>
  <si>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</si>
  <si>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</si>
  <si>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</si>
  <si>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</si>
  <si>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</si>
  <si>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</si>
  <si>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</si>
  <si>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</si>
  <si>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</si>
  <si>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</si>
  <si>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</si>
  <si>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</si>
  <si>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</si>
  <si>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</si>
  <si>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</si>
  <si>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</si>
  <si>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</si>
  <si>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</si>
  <si>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</si>
  <si>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</si>
  <si>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</si>
  <si>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</si>
  <si>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</si>
  <si>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</si>
  <si>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</si>
  <si>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</si>
  <si>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</si>
  <si>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</si>
  <si>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</si>
  <si>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</si>
  <si>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</si>
  <si>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</si>
  <si>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</si>
  <si>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</si>
  <si>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</si>
  <si>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</si>
  <si>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</si>
  <si>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</si>
  <si>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</si>
  <si>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</si>
  <si>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</si>
  <si>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</si>
  <si>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</si>
  <si>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</si>
  <si>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</si>
  <si>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</si>
  <si>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</si>
  <si>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</si>
  <si>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</si>
  <si>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</si>
  <si>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</si>
  <si>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</si>
  <si>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</si>
  <si>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</si>
  <si>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</si>
  <si>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</si>
  <si>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</si>
  <si>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</si>
  <si>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</si>
  <si>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</si>
  <si>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</si>
  <si>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</si>
  <si>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</si>
  <si>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</si>
  <si>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</si>
  <si>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</si>
  <si>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</si>
  <si>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</si>
  <si>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</si>
  <si>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</si>
  <si>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</si>
  <si>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</si>
  <si>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</si>
  <si>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</si>
  <si>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</si>
  <si>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</si>
  <si>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</si>
  <si>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</si>
  <si>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</si>
  <si>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</si>
  <si>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</si>
  <si>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</si>
  <si>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</si>
  <si>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</si>
  <si>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</si>
  <si>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</si>
  <si>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</si>
  <si>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</si>
  <si>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</si>
  <si>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</si>
  <si>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</si>
  <si>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</si>
  <si>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</si>
  <si>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</si>
  <si>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</si>
  <si>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</si>
  <si>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</si>
  <si>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</si>
  <si>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</si>
  <si>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</si>
  <si>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</si>
  <si>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</si>
  <si>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</si>
  <si>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</si>
  <si>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</si>
  <si>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</si>
  <si>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</si>
  <si>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</si>
  <si>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</si>
  <si>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</si>
  <si>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</si>
  <si>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</si>
  <si>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</si>
  <si>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</si>
  <si>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</si>
  <si>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</si>
  <si>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</si>
  <si>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</si>
  <si>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</si>
  <si>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</si>
  <si>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</si>
  <si>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</si>
  <si>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</si>
  <si>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</si>
  <si>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</si>
  <si>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</si>
  <si>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</si>
  <si>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</si>
  <si>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</si>
  <si>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</si>
  <si>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</si>
  <si>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</si>
  <si>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</si>
  <si>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</si>
  <si>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</si>
  <si>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</si>
  <si>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</si>
  <si>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</si>
  <si>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</si>
  <si>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</si>
  <si>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</si>
  <si>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</si>
  <si>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</si>
  <si>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</si>
  <si>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</si>
  <si>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</si>
  <si>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</si>
  <si>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</si>
  <si>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</si>
  <si>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</si>
  <si>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</si>
  <si>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</si>
  <si>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</si>
  <si>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</si>
  <si>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</si>
  <si>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</si>
  <si>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</si>
  <si>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</si>
  <si>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</si>
  <si>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</si>
  <si>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</si>
  <si>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</si>
  <si>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</si>
  <si>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</si>
  <si>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</si>
  <si>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</si>
  <si>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</si>
  <si>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</si>
  <si>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</si>
  <si>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</si>
  <si>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</si>
  <si>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</si>
  <si>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</si>
  <si>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</si>
  <si>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</si>
  <si>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</si>
  <si>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</si>
  <si>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</si>
  <si>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</si>
  <si>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</si>
  <si>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</si>
  <si>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</si>
  <si>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</si>
  <si>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</si>
  <si>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</si>
  <si>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</si>
  <si>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</si>
  <si>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</si>
  <si>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</si>
  <si>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</si>
  <si>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</si>
  <si>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</si>
  <si>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</si>
  <si>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</si>
  <si>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</si>
  <si>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</si>
  <si>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</si>
  <si>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</si>
  <si>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</si>
  <si>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</si>
  <si>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</si>
  <si>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</si>
  <si>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</si>
  <si>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</si>
  <si>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</si>
  <si>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</si>
  <si>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</si>
  <si>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</si>
  <si>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</si>
  <si>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</si>
  <si>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</si>
  <si>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</si>
  <si>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</si>
  <si>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</si>
  <si>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</si>
  <si>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</si>
  <si>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</si>
  <si>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</si>
  <si>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</si>
  <si>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</si>
  <si>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</si>
  <si>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</si>
  <si>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</si>
  <si>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</si>
  <si>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</si>
  <si>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</si>
  <si>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</si>
  <si>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</si>
  <si>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</si>
  <si>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</si>
  <si>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</si>
  <si>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</si>
  <si>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</si>
  <si>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</si>
  <si>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</si>
  <si>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</si>
  <si>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</si>
  <si>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</si>
  <si>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</si>
  <si>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</si>
  <si>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</si>
  <si>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</si>
  <si>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</si>
  <si>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</si>
  <si>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</si>
  <si>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</si>
  <si>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</si>
  <si>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</si>
  <si>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</si>
  <si>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</si>
  <si>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</si>
  <si>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</si>
  <si>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</si>
  <si>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</si>
  <si>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</si>
  <si>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</si>
  <si>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</si>
  <si>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</si>
  <si>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</si>
  <si>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</si>
  <si>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</si>
  <si>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</si>
  <si>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</si>
  <si>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</si>
  <si>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</si>
  <si>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</si>
  <si>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</si>
  <si>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</si>
  <si>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</si>
  <si>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</si>
  <si>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</si>
  <si>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</si>
  <si>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</si>
  <si>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</si>
  <si>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</si>
  <si>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</si>
  <si>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</si>
  <si>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</si>
  <si>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</si>
  <si>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</si>
  <si>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</si>
  <si>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</si>
  <si>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</si>
  <si>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</si>
  <si>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</si>
  <si>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</si>
  <si>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</si>
  <si>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</si>
  <si>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</si>
  <si>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</si>
  <si>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</si>
  <si>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</si>
  <si>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</si>
  <si>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</si>
  <si>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</si>
  <si>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</si>
  <si>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</si>
  <si>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</si>
  <si>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</si>
  <si>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</si>
  <si>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</si>
  <si>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</si>
  <si>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</si>
  <si>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</si>
  <si>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</si>
  <si>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</si>
  <si>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</si>
  <si>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</si>
  <si>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</si>
  <si>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</si>
  <si>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</si>
  <si>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</si>
  <si>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</si>
  <si>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</si>
  <si>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</si>
  <si>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</si>
  <si>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</si>
  <si>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</si>
  <si>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</si>
  <si>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</si>
  <si>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</si>
  <si>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</si>
  <si>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</si>
  <si>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</si>
  <si>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</si>
  <si>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</si>
  <si>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</si>
  <si>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</si>
  <si>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</si>
  <si>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</si>
  <si>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</si>
  <si>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</si>
  <si>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</si>
  <si>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</si>
  <si>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</si>
  <si>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</si>
  <si>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</si>
  <si>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</si>
  <si>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</si>
  <si>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</si>
  <si>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</si>
  <si>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</si>
  <si>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</si>
  <si>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</si>
  <si>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</si>
  <si>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</si>
  <si>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</si>
  <si>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</si>
  <si>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</si>
  <si>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</si>
  <si>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</si>
  <si>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</si>
  <si>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</si>
  <si>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</si>
  <si>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</si>
  <si>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</si>
  <si>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</si>
  <si>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</si>
  <si>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</si>
  <si>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</si>
  <si>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</si>
  <si>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</si>
  <si>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</si>
  <si>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</si>
  <si>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</si>
  <si>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</si>
  <si>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</si>
  <si>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</si>
  <si>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</si>
  <si>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</si>
  <si>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</si>
  <si>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</si>
  <si>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</si>
  <si>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</si>
  <si>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</si>
  <si>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</si>
  <si>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</si>
  <si>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</si>
  <si>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</si>
  <si>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</si>
  <si>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</si>
  <si>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</si>
  <si>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</si>
  <si>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</si>
  <si>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</si>
  <si>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</si>
  <si>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</si>
  <si>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</si>
  <si>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</si>
  <si>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</si>
  <si>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</si>
  <si>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</si>
  <si>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</si>
  <si>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</si>
  <si>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</si>
  <si>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</si>
  <si>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</si>
  <si>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</si>
  <si>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</si>
  <si>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</si>
  <si>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</si>
  <si>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</si>
  <si>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</si>
  <si>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</si>
  <si>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</si>
  <si>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</si>
  <si>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</si>
  <si>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</si>
  <si>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</si>
  <si>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</si>
  <si>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</si>
  <si>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</si>
  <si>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</si>
  <si>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</si>
  <si>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</si>
  <si>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</si>
  <si>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</si>
  <si>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</si>
  <si>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</si>
  <si>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</si>
  <si>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</si>
  <si>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</si>
  <si>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</si>
  <si>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</si>
  <si>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</si>
  <si>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</si>
  <si>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</si>
  <si>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</si>
  <si>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</si>
  <si>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</si>
  <si>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</si>
  <si>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</si>
  <si>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</si>
  <si>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</si>
  <si>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</si>
  <si>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</si>
  <si>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</si>
  <si>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</si>
  <si>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</si>
  <si>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</si>
  <si>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</si>
  <si>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</si>
  <si>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</si>
  <si>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</si>
  <si>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</si>
  <si>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</si>
  <si>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</si>
  <si>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</si>
  <si>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</si>
  <si>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</si>
  <si>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</si>
  <si>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</si>
  <si>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</si>
  <si>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</si>
  <si>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</si>
  <si>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</si>
  <si>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</si>
  <si>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</si>
  <si>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</si>
  <si>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</si>
  <si>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</si>
  <si>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</si>
  <si>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</si>
  <si>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</si>
  <si>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</si>
  <si>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</si>
  <si>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</si>
  <si>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</si>
  <si>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</si>
  <si>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</si>
  <si>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</si>
  <si>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</si>
  <si>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</si>
  <si>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</si>
  <si>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</si>
  <si>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</si>
  <si>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</si>
  <si>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</si>
  <si>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</si>
  <si>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</si>
  <si>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</si>
  <si>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</si>
  <si>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</si>
  <si>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</si>
  <si>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</si>
  <si>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</si>
  <si>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</si>
  <si>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</si>
  <si>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</si>
  <si>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</si>
  <si>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</si>
  <si>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</si>
  <si>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</si>
  <si>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</si>
  <si>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</si>
  <si>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</si>
  <si>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</si>
  <si>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</si>
  <si>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</si>
  <si>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</si>
  <si>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</si>
  <si>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</si>
  <si>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</si>
  <si>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</si>
  <si>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</si>
  <si>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</si>
  <si>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</si>
  <si>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</si>
  <si>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</si>
  <si>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</si>
  <si>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</si>
  <si>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</si>
  <si>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</si>
  <si>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</si>
  <si>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</si>
  <si>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</si>
  <si>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</si>
  <si>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</si>
  <si>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</si>
  <si>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</si>
  <si>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</si>
  <si>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</si>
  <si>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</si>
  <si>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</si>
  <si>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</si>
  <si>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</si>
  <si>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</si>
  <si>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</si>
  <si>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</si>
  <si>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</si>
  <si>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</si>
  <si>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</si>
  <si>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</si>
  <si>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</si>
  <si>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</si>
  <si>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</si>
  <si>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</si>
  <si>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</si>
  <si>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</si>
  <si>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</si>
  <si>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</si>
  <si>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</si>
  <si>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</si>
  <si>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</si>
  <si>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</si>
  <si>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</si>
  <si>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</si>
  <si>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</si>
  <si>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</si>
  <si>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</si>
  <si>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</si>
  <si>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</si>
  <si>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</si>
  <si>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</si>
  <si>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</si>
  <si>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</si>
  <si>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</si>
  <si>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</si>
  <si>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</si>
  <si>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</si>
  <si>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</si>
  <si>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</si>
  <si>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</si>
  <si>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</si>
  <si>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</si>
  <si>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</si>
  <si>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</si>
  <si>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</si>
  <si>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</si>
  <si>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</si>
  <si>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</si>
  <si>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</si>
  <si>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</si>
  <si>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</si>
  <si>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</si>
  <si>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</si>
  <si>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</si>
  <si>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</si>
  <si>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</si>
  <si>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</si>
  <si>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</si>
  <si>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</si>
  <si>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</si>
  <si>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</si>
  <si>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</si>
  <si>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</si>
  <si>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</si>
  <si>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</si>
  <si>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</si>
  <si>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</si>
  <si>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</si>
  <si>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</si>
  <si>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</si>
  <si>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</si>
  <si>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</si>
  <si>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</si>
  <si>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</si>
  <si>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</si>
  <si>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</si>
  <si>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</si>
  <si>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</si>
  <si>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</si>
  <si>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</si>
  <si>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</si>
  <si>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</si>
  <si>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</si>
  <si>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</si>
  <si>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</si>
  <si>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</si>
  <si>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</si>
  <si>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</si>
  <si>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</si>
  <si>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</si>
  <si>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</si>
  <si>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</si>
  <si>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</si>
  <si>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</si>
  <si>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</si>
  <si>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</si>
  <si>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</si>
  <si>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</si>
  <si>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</si>
  <si>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</si>
  <si>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</si>
  <si>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</si>
  <si>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</si>
  <si>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</si>
  <si>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</si>
  <si>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</si>
  <si>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</si>
  <si>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</si>
  <si>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</si>
  <si>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</si>
  <si>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</si>
  <si>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</si>
  <si>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</si>
  <si>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</si>
  <si>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</si>
  <si>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</si>
  <si>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</si>
  <si>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</si>
  <si>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</si>
  <si>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</si>
  <si>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</si>
  <si>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</si>
  <si>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</si>
  <si>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</si>
  <si>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</si>
  <si>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</si>
  <si>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</si>
  <si>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</si>
  <si>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</si>
  <si>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</si>
  <si>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</si>
  <si>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</si>
  <si>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</si>
  <si>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</si>
  <si>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</si>
  <si>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</si>
  <si>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</si>
  <si>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</si>
  <si>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</si>
  <si>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</si>
  <si>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</si>
  <si>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</si>
  <si>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</si>
  <si>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</si>
  <si>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</si>
  <si>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</si>
  <si>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</si>
  <si>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</si>
  <si>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</si>
  <si>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</si>
  <si>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</si>
  <si>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</si>
  <si>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</si>
  <si>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</si>
  <si>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</si>
  <si>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</si>
  <si>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</si>
  <si>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</si>
  <si>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</si>
  <si>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</si>
  <si>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</si>
  <si>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</si>
  <si>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</si>
  <si>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</si>
  <si>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</si>
  <si>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</si>
  <si>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</si>
  <si>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</si>
  <si>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</si>
  <si>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</si>
  <si>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</si>
  <si>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</si>
  <si>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</si>
  <si>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</si>
  <si>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</si>
  <si>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</si>
  <si>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</si>
  <si>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</si>
  <si>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</si>
  <si>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</si>
  <si>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</si>
  <si>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</si>
  <si>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</si>
  <si>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</si>
  <si>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</si>
  <si>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</si>
  <si>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</si>
  <si>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</si>
  <si>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</si>
  <si>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</si>
  <si>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</si>
  <si>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</si>
  <si>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</si>
  <si>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</si>
  <si>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</si>
  <si>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</si>
  <si>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</si>
  <si>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</si>
  <si>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</si>
  <si>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</si>
  <si>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</si>
  <si>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</si>
  <si>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</si>
  <si>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</si>
  <si>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</si>
  <si>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</si>
  <si>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</si>
  <si>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</si>
  <si>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</si>
  <si>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</si>
  <si>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</si>
  <si>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</si>
  <si>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</si>
  <si>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</si>
  <si>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</si>
  <si>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</si>
  <si>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</si>
  <si>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</si>
  <si>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</si>
  <si>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</si>
  <si>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</si>
  <si>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</si>
  <si>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</si>
  <si>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</si>
  <si>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</si>
  <si>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</si>
  <si>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</si>
  <si>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</si>
  <si>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</si>
  <si>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</si>
  <si>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</si>
  <si>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</si>
  <si>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</si>
  <si>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</si>
  <si>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</si>
  <si>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</si>
  <si>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</si>
  <si>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</si>
  <si>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</si>
  <si>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</si>
  <si>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</si>
  <si>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</si>
  <si>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</si>
  <si>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</si>
  <si>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</si>
  <si>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</si>
  <si>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</si>
  <si>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</si>
  <si>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</si>
  <si>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</si>
  <si>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</si>
  <si>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</si>
  <si>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</si>
  <si>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</si>
  <si>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</si>
  <si>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</si>
  <si>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</si>
  <si>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</si>
  <si>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</si>
  <si>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</si>
  <si>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</si>
  <si>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</si>
  <si>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</si>
  <si>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</si>
  <si>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</si>
  <si>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</si>
  <si>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</si>
  <si>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</si>
  <si>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</si>
  <si>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</si>
  <si>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</si>
  <si>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</si>
  <si>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</si>
  <si>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</si>
  <si>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</si>
  <si>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</si>
  <si>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</si>
  <si>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</si>
  <si>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</si>
  <si>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</si>
  <si>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</si>
  <si>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</si>
  <si>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</si>
  <si>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</si>
  <si>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</si>
  <si>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</si>
  <si>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</si>
  <si>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</si>
  <si>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</si>
  <si>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</si>
  <si>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</si>
  <si>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</si>
  <si>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</si>
  <si>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</si>
  <si>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</si>
  <si>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</si>
  <si>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</si>
  <si>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</si>
  <si>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</si>
  <si>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</si>
  <si>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</si>
  <si>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</si>
  <si>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</si>
  <si>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</si>
  <si>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</si>
  <si>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</si>
  <si>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</si>
  <si>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</si>
  <si>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</si>
  <si>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</si>
  <si>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</si>
  <si>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</si>
  <si>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</si>
  <si>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</si>
  <si>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</si>
  <si>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</si>
  <si>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</si>
  <si>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</si>
  <si>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</si>
  <si>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</si>
  <si>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</si>
  <si>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</si>
  <si>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</si>
  <si>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</si>
  <si>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</si>
  <si>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</si>
  <si>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</si>
  <si>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</si>
  <si>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</si>
  <si>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</si>
  <si>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</si>
  <si>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</si>
  <si>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</si>
  <si>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</si>
  <si>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</si>
  <si>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</si>
  <si>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</si>
  <si>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</si>
  <si>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</si>
  <si>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</si>
  <si>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</si>
  <si>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</si>
  <si>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</si>
  <si>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</si>
  <si>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</si>
  <si>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</si>
  <si>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</si>
  <si>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</si>
  <si>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</si>
  <si>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</si>
  <si>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</si>
  <si>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</si>
  <si>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</si>
  <si>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</si>
  <si>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</si>
  <si>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</si>
  <si>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</si>
  <si>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</si>
  <si>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</si>
  <si>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</si>
  <si>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</si>
  <si>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</si>
  <si>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</si>
  <si>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</si>
  <si>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</si>
  <si>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</si>
  <si>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</si>
  <si>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</si>
  <si>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</si>
  <si>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</si>
  <si>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</si>
  <si>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</si>
  <si>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</si>
  <si>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</si>
  <si>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</si>
  <si>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</si>
  <si>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</si>
  <si>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</si>
  <si>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</si>
  <si>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</si>
  <si>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</si>
  <si>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</si>
  <si>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</si>
  <si>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</si>
  <si>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</si>
  <si>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</si>
  <si>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</si>
  <si>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</si>
  <si>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</si>
  <si>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</si>
  <si>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</si>
  <si>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</si>
  <si>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</si>
  <si>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</si>
  <si>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</si>
  <si>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</si>
  <si>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</si>
  <si>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</si>
  <si>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</si>
  <si>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</si>
  <si>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</si>
  <si>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</si>
  <si>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</si>
  <si>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</si>
  <si>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</si>
  <si>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</si>
  <si>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</si>
  <si>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</si>
  <si>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</si>
  <si>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</si>
  <si>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</si>
  <si>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</si>
  <si>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</si>
  <si>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</si>
  <si>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</si>
  <si>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</si>
  <si>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</si>
  <si>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</si>
  <si>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</si>
  <si>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</si>
  <si>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</si>
  <si>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</si>
  <si>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</si>
  <si>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</si>
  <si>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</si>
  <si>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</si>
  <si>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</si>
  <si>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</si>
  <si>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</si>
  <si>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</si>
  <si>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</si>
  <si>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</si>
  <si>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</si>
  <si>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</si>
  <si>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</si>
  <si>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</si>
  <si>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</si>
  <si>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</si>
  <si>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</si>
  <si>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</si>
  <si>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</si>
  <si>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</si>
  <si>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</si>
  <si>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</si>
  <si>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</si>
  <si>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</si>
  <si>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</si>
  <si>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</si>
  <si>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</si>
  <si>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</si>
  <si>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</si>
  <si>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</si>
  <si>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</si>
  <si>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</si>
  <si>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</si>
  <si>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</si>
  <si>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</si>
  <si>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</si>
  <si>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</si>
  <si>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</si>
  <si>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</si>
  <si>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</si>
  <si>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</si>
  <si>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</si>
  <si>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</si>
  <si>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</si>
  <si>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</si>
  <si>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</si>
  <si>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</si>
  <si>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</si>
  <si>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</si>
  <si>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</si>
  <si>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</si>
  <si>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</si>
  <si>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</si>
  <si>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</si>
  <si>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</si>
  <si>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</si>
  <si>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</si>
  <si>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</si>
  <si>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</si>
  <si>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</si>
  <si>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</si>
  <si>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</si>
  <si>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</si>
  <si>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</si>
  <si>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</si>
  <si>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</si>
  <si>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</si>
  <si>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</si>
  <si>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</si>
  <si>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</si>
  <si>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</si>
  <si>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</si>
  <si>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</si>
  <si>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</si>
  <si>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</si>
  <si>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</si>
  <si>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</si>
  <si>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</si>
  <si>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</si>
  <si>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</si>
  <si>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</si>
  <si>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</si>
  <si>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</si>
  <si>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</si>
  <si>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</si>
  <si>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</si>
  <si>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</si>
  <si>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</si>
  <si>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</si>
  <si>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</si>
  <si>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</si>
  <si>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</si>
  <si>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</si>
  <si>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</si>
  <si>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</si>
  <si>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</si>
  <si>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</si>
  <si>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</si>
  <si>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</si>
  <si>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</si>
  <si>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</si>
  <si>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</si>
  <si>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</si>
  <si>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</si>
  <si>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</si>
  <si>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</si>
  <si>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</si>
  <si>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</si>
  <si>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</si>
  <si>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</si>
  <si>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</si>
  <si>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</si>
  <si>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</si>
  <si>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</si>
  <si>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</si>
  <si>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</si>
  <si>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</si>
  <si>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</si>
  <si>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</si>
  <si>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</si>
  <si>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</si>
  <si>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</si>
  <si>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</si>
  <si>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</si>
  <si>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</si>
  <si>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</si>
  <si>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</si>
  <si>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</si>
  <si>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</si>
  <si>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</si>
  <si>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</si>
  <si>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</si>
  <si>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</si>
  <si>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</si>
  <si>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</si>
  <si>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</si>
  <si>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</si>
  <si>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</si>
  <si>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</si>
  <si>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</si>
  <si>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</si>
  <si>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</si>
  <si>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</si>
  <si>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</si>
  <si>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</si>
  <si>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</si>
  <si>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</si>
  <si>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</si>
  <si>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</si>
  <si>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</si>
  <si>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</si>
  <si>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</si>
  <si>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</si>
  <si>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</si>
  <si>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</si>
  <si>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</si>
  <si>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</si>
  <si>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</si>
  <si>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</si>
  <si>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</si>
  <si>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</si>
  <si>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</si>
  <si>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</si>
  <si>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</si>
  <si>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</si>
  <si>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</si>
  <si>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</si>
  <si>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</si>
  <si>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</si>
  <si>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</si>
  <si>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</si>
  <si>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</si>
  <si>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</si>
  <si>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</si>
  <si>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</si>
  <si>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</si>
  <si>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</si>
  <si>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</si>
  <si>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</si>
  <si>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</si>
  <si>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</si>
  <si>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</si>
  <si>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</si>
  <si>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</si>
  <si>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</si>
  <si>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</si>
  <si>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</si>
  <si>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</si>
  <si>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</si>
  <si>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</si>
  <si>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</si>
  <si>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</si>
  <si>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</si>
  <si>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</si>
  <si>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</si>
  <si>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</si>
  <si>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</si>
  <si>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</si>
  <si>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</si>
  <si>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</si>
  <si>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</si>
  <si>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</si>
  <si>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</si>
  <si>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</si>
  <si>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</si>
  <si>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</si>
  <si>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</si>
  <si>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</si>
  <si>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</si>
  <si>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</si>
  <si>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</si>
  <si>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</si>
  <si>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</si>
  <si>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</si>
  <si>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</si>
  <si>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</si>
  <si>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</si>
  <si>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</si>
  <si>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</si>
  <si>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</si>
  <si>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</si>
  <si>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</si>
  <si>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</si>
  <si>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</si>
  <si>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</si>
  <si>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</si>
  <si>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</si>
  <si>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</si>
  <si>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</si>
  <si>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</si>
  <si>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</si>
  <si>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</si>
  <si>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</si>
  <si>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</si>
  <si>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</si>
  <si>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</si>
  <si>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</si>
  <si>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</si>
  <si>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</si>
  <si>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</si>
  <si>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</si>
  <si>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</si>
  <si>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</si>
  <si>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</si>
  <si>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</si>
  <si>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</si>
  <si>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</si>
  <si>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</si>
  <si>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</si>
  <si>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</si>
  <si>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</si>
  <si>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</si>
  <si>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</si>
  <si>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</si>
  <si>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</si>
  <si>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</si>
  <si>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</si>
  <si>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</si>
  <si>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</si>
  <si>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</si>
  <si>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</si>
  <si>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</si>
  <si>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</si>
  <si>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</si>
  <si>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</si>
  <si>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</si>
  <si>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</si>
  <si>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</si>
  <si>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</si>
  <si>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</si>
  <si>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</si>
  <si>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</si>
  <si>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</si>
  <si>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</si>
  <si>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</si>
  <si>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</si>
  <si>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</si>
  <si>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</si>
  <si>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</si>
  <si>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</si>
  <si>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</si>
  <si>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</si>
  <si>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</si>
  <si>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</si>
  <si>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</si>
  <si>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</si>
  <si>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</si>
  <si>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</si>
  <si>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</si>
  <si>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</si>
  <si>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</si>
  <si>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</si>
  <si>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</si>
  <si>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</si>
  <si>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</si>
  <si>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</si>
  <si>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</si>
  <si>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</si>
  <si>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</si>
  <si>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</si>
  <si>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</si>
  <si>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</si>
  <si>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</si>
  <si>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</si>
  <si>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</si>
  <si>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</si>
  <si>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</si>
  <si>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</si>
  <si>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</si>
  <si>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</si>
  <si>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</si>
  <si>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</si>
  <si>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</si>
  <si>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</si>
  <si>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</si>
  <si>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</si>
  <si>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</si>
  <si>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</si>
  <si>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</si>
  <si>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</si>
  <si>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</si>
  <si>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</si>
  <si>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</si>
  <si>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</si>
  <si>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</si>
  <si>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</si>
  <si>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</si>
  <si>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</si>
  <si>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</si>
  <si>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</si>
  <si>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</si>
  <si>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</si>
  <si>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</si>
  <si>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</si>
  <si>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</si>
  <si>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</si>
  <si>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</si>
  <si>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</si>
  <si>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</si>
  <si>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</si>
  <si>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</si>
  <si>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</si>
  <si>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</si>
  <si>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</si>
  <si>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</si>
  <si>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</si>
  <si>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</si>
  <si>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</si>
  <si>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</si>
  <si>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</si>
  <si>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</si>
  <si>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</si>
  <si>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</si>
  <si>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</si>
  <si>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</si>
  <si>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</si>
  <si>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</si>
  <si>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</si>
  <si>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</si>
  <si>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</si>
  <si>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</si>
  <si>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</si>
  <si>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</si>
  <si>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</si>
  <si>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</si>
  <si>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</si>
  <si>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</si>
  <si>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</si>
  <si>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</si>
  <si>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</si>
  <si>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</si>
  <si>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</si>
  <si>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</si>
  <si>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</si>
  <si>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</si>
  <si>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</si>
  <si>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</si>
  <si>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</si>
  <si>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</si>
  <si>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</si>
  <si>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</si>
  <si>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</si>
  <si>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</si>
  <si>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</si>
  <si>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</si>
  <si>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</si>
  <si>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</si>
  <si>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</si>
  <si>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</si>
  <si>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</si>
  <si>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</si>
  <si>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</si>
  <si>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</si>
  <si>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</si>
  <si>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</si>
  <si>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</si>
  <si>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</si>
  <si>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</si>
  <si>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</si>
  <si>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</si>
  <si>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</si>
  <si>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</si>
  <si>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</si>
  <si>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</si>
  <si>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</si>
  <si>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</si>
  <si>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</si>
  <si>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</si>
  <si>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</si>
  <si>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</si>
  <si>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</si>
  <si>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</si>
  <si>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</si>
  <si>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</si>
  <si>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</si>
  <si>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</si>
  <si>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</si>
  <si>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</si>
  <si>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</si>
  <si>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</si>
  <si>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</si>
  <si>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</si>
  <si>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</si>
  <si>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</si>
  <si>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</si>
  <si>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</si>
  <si>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</si>
  <si>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</si>
  <si>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</si>
  <si>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</si>
  <si>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</si>
  <si>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</si>
  <si>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</si>
  <si>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</si>
  <si>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</si>
  <si>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</si>
  <si>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</si>
  <si>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</si>
  <si>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</si>
  <si>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</si>
  <si>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</si>
  <si>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</si>
  <si>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</si>
  <si>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</si>
  <si>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</si>
  <si>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</si>
  <si>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</si>
  <si>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</si>
  <si>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</si>
  <si>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</si>
  <si>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</si>
  <si>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</si>
  <si>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</si>
  <si>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</si>
  <si>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</si>
  <si>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</si>
  <si>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</si>
  <si>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</si>
  <si>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</si>
  <si>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</si>
  <si>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</si>
  <si>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</si>
  <si>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</si>
  <si>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</si>
  <si>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</si>
  <si>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</si>
  <si>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</si>
  <si>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</si>
  <si>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</si>
  <si>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</si>
  <si>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</si>
  <si>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</si>
  <si>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</si>
  <si>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</si>
  <si>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</si>
  <si>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</si>
  <si>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</si>
  <si>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</si>
  <si>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</si>
  <si>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</si>
  <si>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</si>
  <si>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</si>
  <si>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</si>
  <si>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</si>
  <si>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</si>
  <si>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</si>
  <si>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</si>
  <si>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</si>
  <si>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</si>
  <si>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</si>
  <si>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</si>
  <si>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</si>
  <si>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</si>
  <si>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</si>
  <si>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</si>
  <si>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</si>
  <si>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</si>
  <si>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</si>
  <si>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</si>
  <si>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</si>
  <si>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</si>
  <si>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</si>
  <si>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</si>
  <si>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</si>
  <si>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</si>
  <si>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</si>
  <si>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</si>
  <si>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</si>
  <si>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</si>
  <si>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</si>
  <si>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</si>
  <si>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</si>
  <si>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</si>
  <si>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</si>
  <si>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</si>
  <si>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</si>
  <si>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</si>
  <si>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</si>
  <si>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</si>
  <si>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</si>
  <si>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</si>
  <si>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</si>
  <si>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</si>
  <si>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</si>
  <si>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</si>
  <si>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</si>
  <si>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</si>
  <si>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</si>
  <si>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</si>
  <si>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</si>
  <si>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</si>
  <si>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</si>
  <si>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</si>
  <si>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</si>
  <si>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</si>
  <si>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</si>
  <si>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</si>
  <si>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</si>
  <si>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</si>
  <si>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</si>
  <si>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</si>
  <si>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</si>
  <si>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</si>
  <si>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</si>
  <si>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</si>
  <si>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</si>
  <si>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</si>
  <si>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</si>
  <si>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</si>
  <si>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</si>
  <si>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</si>
  <si>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</si>
  <si>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</si>
  <si>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</si>
  <si>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</si>
  <si>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</si>
  <si>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</si>
  <si>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</si>
  <si>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</si>
  <si>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</si>
  <si>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</si>
  <si>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</si>
  <si>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</si>
  <si>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</si>
  <si>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</si>
  <si>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</si>
  <si>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</si>
  <si>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</si>
  <si>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</si>
  <si>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</si>
  <si>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</si>
  <si>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</si>
  <si>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</si>
  <si>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</si>
  <si>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</si>
  <si>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</si>
  <si>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</si>
  <si>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</si>
  <si>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</si>
  <si>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</si>
  <si>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</si>
  <si>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</si>
  <si>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</si>
  <si>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</si>
  <si>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</si>
  <si>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</si>
  <si>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</si>
  <si>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</si>
  <si>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</si>
  <si>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</si>
  <si>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</si>
  <si>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</si>
  <si>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</si>
  <si>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</si>
  <si>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</si>
  <si>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</si>
  <si>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</si>
  <si>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</si>
  <si>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</si>
  <si>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</si>
  <si>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</si>
  <si>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</si>
  <si>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</si>
  <si>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13.10.2020.</t>
  </si>
  <si>
    <t>031/554-953</t>
  </si>
  <si>
    <t>karezina@fazos.hr</t>
  </si>
  <si>
    <t xml:space="preserve">HRZZ PROJEKT -DOKTORANDI </t>
  </si>
  <si>
    <t>listopad 2018.</t>
  </si>
  <si>
    <t>prosinac 2022.</t>
  </si>
  <si>
    <t>Hrvatska zaklada za znanost</t>
  </si>
  <si>
    <t>EUROPSKI SOCIJALNI FOND SUFINANCIRA OBRAZOVANJE DOKTORANADA IZ PODRUČJA BIOTEHNIČKIH ZNANOSTI projekt razvoja karijere mladih doktoranda M. Kristić</t>
  </si>
  <si>
    <t>EUROPSKI SOCIJALNI FOND SUFINANCIRA OBRAZOVANJE DOKTORANADA IZ PODRUČJA BIOTEHNIČKIH ZNANOSTI projekt razvoja karijere mladih doktoranda M. Matić</t>
  </si>
  <si>
    <t>07.09.2020.</t>
  </si>
  <si>
    <t>06.09.2023.</t>
  </si>
  <si>
    <t>K.K.01.2.1.02.0037 PARTNERI NA IRI PROJEKTU, NOSIOC PODUZEĆE AGROSIMPA DD - ISTRAŽIVANJE I RAZVOJ INOVATIVNE FUNKCIONALNE HRANE ZA PČELE RADI POVEĆANJA EFIKASNOSTI GLOBALNE PČELARSKE PROIZVODNJE S CILJEM POSTATI LIDER U RAZVOJU INOVATIVNE FUNKCIONALNE HRANE ZA PČELE NA MEĐ. PČELARSKOM TRŽIŠTU - prof.dr.sc. Zlatko Puškadija</t>
  </si>
  <si>
    <t>PARTNERI IRI- PROJEKT</t>
  </si>
  <si>
    <t>PODUZEĆE AGROSIMPA D.O.O.</t>
  </si>
  <si>
    <t>Znanstveni centar izvrsnosti personalizirana briga o zdravlju KK.011.1.01.0010.</t>
  </si>
  <si>
    <t>SVEUČILIŠTE U OSIJEKU, SAFU AGENCIJA ZA FINANCIRANJE</t>
  </si>
  <si>
    <t>01.06.2019.</t>
  </si>
  <si>
    <t>MINISTARSTVO REGIONALNOG RAZVOJA -GRAD SOMBOR POSREDNIK</t>
  </si>
  <si>
    <t>Erasmus mobilnost nastavnog i nenastavnog osoblja</t>
  </si>
  <si>
    <t>SVEUČILIŠTU U OSIJEKU UPLAĆUJE AGENCIJA ZA MOBILNOST</t>
  </si>
  <si>
    <t>Erasmus agencija za mobilnost nastavnog i nenastavnog osoblja</t>
  </si>
  <si>
    <t>01.04.2020.</t>
  </si>
  <si>
    <t>01.04.2023.</t>
  </si>
  <si>
    <t>MINISTARSTVO ZAŠTITE OKOLIŠA I ENERGETIKE</t>
  </si>
  <si>
    <t>K.K.05.1.1.02.0029 APPLERESIST - genetska otpornost jabuke na toplinski i sušni stres uz formiranje preporučenog sortimenta za proizvodna područja kontinentalne Hrvatske - nositelj projekta</t>
  </si>
  <si>
    <t>20.12.2019.</t>
  </si>
  <si>
    <t>19.12.2022.</t>
  </si>
  <si>
    <t>PREHRAMBENI FAKULTET U OSIJEKU</t>
  </si>
  <si>
    <t>K.K. 01.1.1.04.0107 BIO4FEED - Biokonverzija lignoceluloznog materijala u visokovrijednu  hranu za životinje eu fond za regionalni razvoj, operativni program konkurentnost i kohezija</t>
  </si>
  <si>
    <t>01.02.2020.</t>
  </si>
  <si>
    <t>01.06.2023.</t>
  </si>
  <si>
    <t xml:space="preserve">K.K.05.1.1.02.0018 PARTENRI NA PROJEKTU, NOSITELJ HAPIH </t>
  </si>
  <si>
    <t>09.09.2020.</t>
  </si>
  <si>
    <t>08.09.2022.</t>
  </si>
  <si>
    <t>UNIVERSITY OF Thessaly Grčka</t>
  </si>
  <si>
    <t xml:space="preserve">Partneri na projektu Erasmus KA2 2020-1-EL01-ka203-079121 Innovative education for sustainable development in peripheral rural areas (RUR UP)koordinator izv.prof.dr. Snježana Tolić </t>
  </si>
  <si>
    <t>PARTNERI NA TRAIN -CE-FOOD</t>
  </si>
  <si>
    <t>01.03..2020</t>
  </si>
  <si>
    <t>EPEKA, SLOVENIJA</t>
  </si>
  <si>
    <t xml:space="preserve">PARTNERI NA OBZOR 2020 "Diversity of local pig breeds and production systems for high quality traditional products and sustainable pork chains"
Skraćeni naziv projekta: TRAIN-CE-FOOD
</t>
  </si>
  <si>
    <t>ICT u poljoprivredi</t>
  </si>
  <si>
    <t>12.10.2018.</t>
  </si>
  <si>
    <t>11.10.2021.</t>
  </si>
  <si>
    <t>SREDSTVA IZ EUROPSKOG SOCIJALNOG FONDA, MINISTARSTVO ZNANOSTI, AGENCIJA ZA STRUKOVNO OBRAZOVANJE I OBRAZOVANJE ODRASLIH</t>
  </si>
  <si>
    <t>UP. 03.1.1.02.042ICT U POLJOPRIVREDNIM ZNANOSTIMA ZAJEDNIČKI DIPLOMSKI STUDIJ NA ENGLESKOM JEZIKU</t>
  </si>
  <si>
    <t>Projekt personalizirane brige o zdravlju. Svrha projekta je proizvesti hranu obogaćenu nutricinima,jaja i pileće meso koje osim nutritivne vrijednosti povoljno utječu i na ljudsko zdravlje.</t>
  </si>
  <si>
    <t>Partneri na IPA INTEREG CBC establishing development of usutainable cross border clusters - Uspostavljanje prekogranične suradnje kroz dva klastera na području ekonomije i poljoprivrede. Razmjena iskustava i prakse te stvaranje platforme za distrubuciju proizvoda.</t>
  </si>
  <si>
    <t>MINISTARSTVO REGIONALNOG RAZVOJA -GRAD SOMBOR NOSITELJ</t>
  </si>
  <si>
    <t>HAPIH-MIN. GOSPODARSTVA I ODRŽIVOG RAZVOJA</t>
  </si>
  <si>
    <t>15.01.2019.</t>
  </si>
  <si>
    <t>AGRONOMSKI FAKULTET U ZAGREBU</t>
  </si>
  <si>
    <t xml:space="preserve">598444-EPP-1-2018-1-HR-EPPKA2-CBHE-JP
HARISA - Harmonization and Innovation in PhD Study Programs for Plant Health in Sustainable Agriculture (HarISA)
Koordinator  projekta: Agronomski fakultet Sveučilišta u Zagrebu, koordinator prof.dr.sc. Vlatka Rozman
</t>
  </si>
  <si>
    <t>14.01.2022. (PLAN PRODUŽETAK)</t>
  </si>
  <si>
    <t xml:space="preserve"> K 679084 Ulaganje u znanost i invacije - Inovativna proizvodnja organskih gnojiva i supstrata za uzgoj presadnica operativni proram konkurentnost i kohezija 2014. 2020. </t>
  </si>
  <si>
    <t>MINISTARSTVO ZNANOSTI</t>
  </si>
  <si>
    <t>K.K. 01.1.1.04.0052 Ulaganje u znanost i invacije - Inovativna proizvodnja organskih gnojiva i supstrata za uzgoj presadnica operativni proram konkurentnost i kohezija 2014. 2020. unutar programa povećane sposobnosti sektora za istraživanje razvoj i inovacije za provođenje istraživanja vrhunske kvalitet i zadovoljavanje potreba gospodarstva</t>
  </si>
  <si>
    <t>Ivanka Ivanović dipl.oec, Ksenija Arežina</t>
  </si>
  <si>
    <t>ISTRAŽIVANJE I RAZVOJ INOVATIVNE FUNKCIONALNE HRANE ZA PČELE RADI POVEĆANJA EFIKASNOSTI GLOBALNE PČELARSKE PROIZVODNJE A679071.026</t>
  </si>
  <si>
    <t>PARTNERI NA IPA INTERREG CBC ESTABLISHING DEVELOPMENT OF SUSTAINABLE CROSS BORDER CLUSTERS A679071.026</t>
  </si>
  <si>
    <t>APPLERESIST KK 05 .1.1.02.0029 A679071.025</t>
  </si>
  <si>
    <t>BIO4FEED- PARTNER A679071.028</t>
  </si>
  <si>
    <t>AGROEKOTEH/HAPIH PARTNER A679071.029</t>
  </si>
  <si>
    <t>ERASMUS K2 19455 EURA A679071.030</t>
  </si>
  <si>
    <t>PARTNERI NA HARISA A679071.032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</si>
</sst>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9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43" fontId="23" fillId="0" borderId="0" applyFont="0" applyFill="0" applyBorder="0" applyAlignment="0" applyProtection="0"/>
    <xf numFmtId="0" fontId="24" fillId="21" borderId="0"/>
  </cellStyleXfs>
  <cellXfs count="31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0" fillId="0" borderId="6" xfId="0" applyNumberFormat="1" applyBorder="1" applyProtection="1"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4" fontId="0" fillId="0" borderId="0" xfId="0" applyNumberFormat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9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Comma 2 2" xfId="77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2" xfId="78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8" workbookViewId="0">
      <selection activeCell="C6" sqref="C6:E6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5" t="s">
        <v>2188</v>
      </c>
      <c r="D3" s="286"/>
      <c r="E3" s="287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8" t="s">
        <v>2336</v>
      </c>
      <c r="D4" s="289"/>
      <c r="E4" s="290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8" t="s">
        <v>2392</v>
      </c>
      <c r="D5" s="289"/>
      <c r="E5" s="290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8" t="s">
        <v>2337</v>
      </c>
      <c r="D6" s="289"/>
      <c r="E6" s="290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8" t="s">
        <v>2338</v>
      </c>
      <c r="D7" s="289"/>
      <c r="E7" s="290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93" t="s">
        <v>2140</v>
      </c>
      <c r="C9" s="292"/>
      <c r="D9" s="292"/>
      <c r="E9" s="292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93" t="s">
        <v>3</v>
      </c>
      <c r="C10" s="292"/>
      <c r="D10" s="292"/>
      <c r="E10" s="292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91"/>
      <c r="C11" s="292"/>
      <c r="D11" s="292"/>
      <c r="E11" s="292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65751263</v>
      </c>
      <c r="D14" s="163">
        <f>+D15+D16</f>
        <v>64691161</v>
      </c>
      <c r="E14" s="163">
        <f>+E15+E16</f>
        <v>61263612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65751263</v>
      </c>
      <c r="D15" s="166">
        <f>'PLAN PRIHODA I PRIMITAKA '!D68</f>
        <v>64691161</v>
      </c>
      <c r="E15" s="166">
        <f>'PLAN PRIHODA I PRIMITAKA '!D109</f>
        <v>61263612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65043604.25</v>
      </c>
      <c r="D17" s="170">
        <f>+D18+D19</f>
        <v>63446664.25</v>
      </c>
      <c r="E17" s="170">
        <f>+E18+E19</f>
        <v>60550156.960000001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61140074.869999997</v>
      </c>
      <c r="D18" s="172">
        <f>'PLAN RASHODA I IZDATAKA'!D72</f>
        <v>61454621.509999998</v>
      </c>
      <c r="E18" s="172">
        <f>'PLAN RASHODA I IZDATAKA'!D92</f>
        <v>59695184.910000004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3903529.38</v>
      </c>
      <c r="D19" s="172">
        <f>'PLAN RASHODA I IZDATAKA'!D80</f>
        <v>1992042.74</v>
      </c>
      <c r="E19" s="172">
        <f>'PLAN RASHODA I IZDATAKA'!D100</f>
        <v>854972.05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707658.75</v>
      </c>
      <c r="D20" s="163">
        <f>+D14-D17</f>
        <v>1244496.75</v>
      </c>
      <c r="E20" s="163">
        <f>+E14-E17</f>
        <v>713455.03999999911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91"/>
      <c r="C21" s="292"/>
      <c r="D21" s="292"/>
      <c r="E21" s="292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7800000</v>
      </c>
      <c r="D23" s="171">
        <f>'PLAN PRIHODA I PRIMITAKA '!D46</f>
        <v>8507659</v>
      </c>
      <c r="E23" s="171">
        <f>'PLAN PRIHODA I PRIMITAKA '!D87</f>
        <v>9752156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-8507659</v>
      </c>
      <c r="D24" s="175">
        <f>'PLAN PRIHODA I PRIMITAKA '!D48</f>
        <v>-9752156</v>
      </c>
      <c r="E24" s="176">
        <f>'PLAN PRIHODA I PRIMITAKA '!D89</f>
        <v>-10465611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91"/>
      <c r="C25" s="292"/>
      <c r="D25" s="292"/>
      <c r="E25" s="292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91"/>
      <c r="C30" s="292"/>
      <c r="D30" s="292"/>
      <c r="E30" s="292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-0.25</v>
      </c>
      <c r="D31" s="180">
        <f>+D20+D23+D24+D29</f>
        <v>-0.25</v>
      </c>
      <c r="E31" s="180">
        <f>+E20+E23+E24+E29</f>
        <v>3.9999999105930328E-2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4" workbookViewId="0">
      <selection activeCell="B102" sqref="B10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topLeftCell="B1" zoomScaleNormal="100" workbookViewId="0">
      <pane ySplit="2" topLeftCell="A3" activePane="bottomLeft" state="frozen"/>
      <selection pane="bottomLeft" activeCell="H10" sqref="H10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4" t="s">
        <v>758</v>
      </c>
      <c r="B1" s="294"/>
      <c r="C1" s="294"/>
      <c r="D1" s="294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43276743</v>
      </c>
      <c r="H3" s="185">
        <v>44661598</v>
      </c>
      <c r="I3" s="185">
        <v>44884907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3537984</v>
      </c>
      <c r="H4" s="185">
        <v>3891782</v>
      </c>
      <c r="I4" s="185">
        <v>3891783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185">
        <v>25000</v>
      </c>
      <c r="H5" s="185">
        <v>28000</v>
      </c>
      <c r="I5" s="185">
        <v>30000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f>2978225-25000+100000</f>
        <v>3053225</v>
      </c>
      <c r="H6" s="185">
        <f>2658700-28000+100000-14849+200000</f>
        <v>2915851</v>
      </c>
      <c r="I6" s="185">
        <f>2463700-30000+100000+250000</f>
        <v>2783700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2707250</v>
      </c>
      <c r="H7" s="185">
        <f>2545250+250000-50000</f>
        <v>2745250</v>
      </c>
      <c r="I7" s="185">
        <f>2756250+200000</f>
        <v>2956250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f>820000+650000</f>
        <v>1470000</v>
      </c>
      <c r="H8" s="185">
        <f>785500+650000</f>
        <v>1435500</v>
      </c>
      <c r="I8" s="185">
        <f>350000+650000</f>
        <v>1000000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52</v>
      </c>
      <c r="D9" s="138" t="str">
        <f t="shared" si="4"/>
        <v xml:space="preserve">Ostale pomoći i darovnice </v>
      </c>
      <c r="E9" s="150">
        <v>639310000</v>
      </c>
      <c r="F9" s="191" t="str">
        <f t="shared" si="5"/>
        <v>Tekući prijenosi između proračunskih korisnika istog proračuna temeljem prijenosa EU sredstava</v>
      </c>
      <c r="G9" s="185">
        <f>2789878+37000</f>
        <v>2826878</v>
      </c>
      <c r="H9" s="185">
        <v>1307858</v>
      </c>
      <c r="I9" s="185">
        <v>327010</v>
      </c>
      <c r="K9" s="141" t="str">
        <f t="shared" si="6"/>
        <v>639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52</v>
      </c>
      <c r="D11" s="138" t="str">
        <f t="shared" si="4"/>
        <v xml:space="preserve">Ostale pomoći i darovnice </v>
      </c>
      <c r="E11" s="150">
        <v>639110000</v>
      </c>
      <c r="F11" s="191" t="str">
        <f t="shared" si="5"/>
        <v>Tekući prijenosi između proračunskih korisnika istog proračuna</v>
      </c>
      <c r="G11" s="185">
        <v>5100000</v>
      </c>
      <c r="H11" s="185">
        <v>5150000</v>
      </c>
      <c r="I11" s="185">
        <v>5200000</v>
      </c>
      <c r="K11" s="141" t="str">
        <f t="shared" si="6"/>
        <v>639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61</v>
      </c>
      <c r="D12" s="138" t="str">
        <f t="shared" si="4"/>
        <v xml:space="preserve">Donacije </v>
      </c>
      <c r="E12" s="150">
        <v>663120000</v>
      </c>
      <c r="F12" s="191" t="str">
        <f t="shared" si="5"/>
        <v>Tekuće donacije od neprofitnih organizacija</v>
      </c>
      <c r="G12" s="185">
        <v>272880</v>
      </c>
      <c r="H12" s="185">
        <v>251340</v>
      </c>
      <c r="I12" s="185"/>
      <c r="K12" s="141" t="str">
        <f t="shared" si="6"/>
        <v>663</v>
      </c>
      <c r="L12" s="141" t="str">
        <f t="shared" si="7"/>
        <v>66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61</v>
      </c>
      <c r="D13" s="138" t="str">
        <f t="shared" si="4"/>
        <v xml:space="preserve">Donacije </v>
      </c>
      <c r="E13" s="150">
        <v>663130000</v>
      </c>
      <c r="F13" s="191" t="str">
        <f t="shared" si="5"/>
        <v>Tekuće donacije od trgovačkih društava</v>
      </c>
      <c r="G13" s="185">
        <f>535840-272880</f>
        <v>262960</v>
      </c>
      <c r="H13" s="185">
        <f>447740-251340</f>
        <v>196400</v>
      </c>
      <c r="I13" s="185">
        <v>189962</v>
      </c>
      <c r="K13" s="141" t="str">
        <f t="shared" si="6"/>
        <v>663</v>
      </c>
      <c r="L13" s="141" t="str">
        <f t="shared" si="7"/>
        <v>66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12</v>
      </c>
      <c r="D14" s="138" t="str">
        <f t="shared" si="4"/>
        <v>Sredstva učešća za pomoći</v>
      </c>
      <c r="E14" s="150" t="s">
        <v>777</v>
      </c>
      <c r="F14" s="191" t="str">
        <f t="shared" si="5"/>
        <v>Prihodi iz nadležnog proračuna za financiranje redovne djelatnosti proračunskih korisnika</v>
      </c>
      <c r="G14" s="185">
        <f>130037+36575</f>
        <v>166612</v>
      </c>
      <c r="H14" s="185"/>
      <c r="I14" s="185"/>
      <c r="K14" s="141" t="str">
        <f t="shared" si="6"/>
        <v>671</v>
      </c>
      <c r="L14" s="141" t="str">
        <f t="shared" si="7"/>
        <v>67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561</v>
      </c>
      <c r="D15" s="138" t="str">
        <f t="shared" si="4"/>
        <v>Europski socijalni fond (ESF)</v>
      </c>
      <c r="E15" s="150">
        <v>632310561</v>
      </c>
      <c r="F15" s="191" t="str">
        <f t="shared" si="5"/>
        <v>Europski socijalni fond (ESF)</v>
      </c>
      <c r="G15" s="185">
        <f>736891+207258</f>
        <v>944149</v>
      </c>
      <c r="H15" s="185"/>
      <c r="I15" s="185"/>
      <c r="K15" s="141" t="str">
        <f t="shared" si="6"/>
        <v>632</v>
      </c>
      <c r="L15" s="141" t="str">
        <f t="shared" si="7"/>
        <v>63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563</v>
      </c>
      <c r="D16" s="138" t="str">
        <f t="shared" si="4"/>
        <v>Europski fond za regionalni razvoj (ERDF)</v>
      </c>
      <c r="E16" s="150">
        <v>632410563</v>
      </c>
      <c r="F16" s="191" t="str">
        <f t="shared" si="5"/>
        <v>Europski fond za regionalni razvoj (EFRR)</v>
      </c>
      <c r="G16" s="185">
        <v>2107582</v>
      </c>
      <c r="H16" s="185">
        <v>2107582</v>
      </c>
      <c r="I16" s="185"/>
      <c r="K16" s="141" t="str">
        <f t="shared" si="6"/>
        <v>632</v>
      </c>
      <c r="L16" s="141" t="str">
        <f t="shared" si="7"/>
        <v>63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opLeftCell="D1" zoomScale="85" zoomScaleNormal="85" workbookViewId="0">
      <pane ySplit="2" topLeftCell="A109" activePane="bottomLeft" state="frozen"/>
      <selection pane="bottomLeft" activeCell="I47" sqref="I47:I110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5" t="s">
        <v>757</v>
      </c>
      <c r="B1" s="295"/>
      <c r="C1" s="295"/>
      <c r="D1" s="295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35364368</v>
      </c>
      <c r="J3" s="185">
        <v>36496028</v>
      </c>
      <c r="K3" s="185">
        <v>36678508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971668</v>
      </c>
      <c r="J4" s="185">
        <v>1002761</v>
      </c>
      <c r="K4" s="185">
        <v>1007775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68</v>
      </c>
      <c r="H5" s="146" t="str">
        <f t="shared" si="5"/>
        <v>REDOVNA DJELATNOST SVEUČILIŠTA U OSIJEKU</v>
      </c>
      <c r="I5" s="185">
        <v>5710187</v>
      </c>
      <c r="J5" s="185">
        <v>5892913</v>
      </c>
      <c r="K5" s="185">
        <v>5922378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1120350</v>
      </c>
      <c r="J6" s="185">
        <v>1156201</v>
      </c>
      <c r="K6" s="185">
        <v>1161982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52500</v>
      </c>
      <c r="J7" s="185">
        <v>54180</v>
      </c>
      <c r="K7" s="185">
        <v>54451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57670</v>
      </c>
      <c r="J8" s="185">
        <v>59515</v>
      </c>
      <c r="K8" s="185">
        <v>59813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si="5"/>
        <v>PROGRAMSKO FINANCIRANJE JAVNIH VISOKIH UČILIŠTA</v>
      </c>
      <c r="I9" s="185">
        <v>398876.24</v>
      </c>
      <c r="J9" s="185">
        <v>441935.65</v>
      </c>
      <c r="K9" s="185">
        <v>444050.18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3213</v>
      </c>
      <c r="F10" s="146" t="str">
        <f t="shared" si="4"/>
        <v>Stručno usavršavanje zaposlenika</v>
      </c>
      <c r="G10" s="186" t="s">
        <v>801</v>
      </c>
      <c r="H10" s="146" t="str">
        <f t="shared" si="5"/>
        <v>PROGRAMSKO FINANCIRANJE JAVNIH VISOKIH UČILIŠTA</v>
      </c>
      <c r="I10" s="185">
        <v>115337.71</v>
      </c>
      <c r="J10" s="185">
        <v>126871.48</v>
      </c>
      <c r="K10" s="185">
        <v>126871.48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186" t="s">
        <v>801</v>
      </c>
      <c r="H11" s="146" t="str">
        <f t="shared" si="5"/>
        <v>PROGRAMSKO FINANCIRANJE JAVNIH VISOKIH UČILIŠTA</v>
      </c>
      <c r="I11" s="185">
        <v>68340.479999999996</v>
      </c>
      <c r="J11" s="185">
        <v>79294.67</v>
      </c>
      <c r="K11" s="185">
        <v>79294.67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3222</v>
      </c>
      <c r="F12" s="146" t="str">
        <f t="shared" si="4"/>
        <v>Materijal i sirovine</v>
      </c>
      <c r="G12" s="186" t="s">
        <v>801</v>
      </c>
      <c r="H12" s="146" t="str">
        <f t="shared" si="5"/>
        <v>PROGRAMSKO FINANCIRANJE JAVNIH VISOKIH UČILIŠTA</v>
      </c>
      <c r="I12" s="185">
        <v>249898.37</v>
      </c>
      <c r="J12" s="185">
        <v>237165.08</v>
      </c>
      <c r="K12" s="185">
        <v>280174.52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3223</v>
      </c>
      <c r="F13" s="146" t="str">
        <f t="shared" si="4"/>
        <v>Energija</v>
      </c>
      <c r="G13" s="186" t="s">
        <v>801</v>
      </c>
      <c r="H13" s="146" t="str">
        <f t="shared" si="5"/>
        <v>PROGRAMSKO FINANCIRANJE JAVNIH VISOKIH UČILIŠTA</v>
      </c>
      <c r="I13" s="185">
        <v>839943.97</v>
      </c>
      <c r="J13" s="185">
        <v>951536.08</v>
      </c>
      <c r="K13" s="185">
        <v>892329.4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3224</v>
      </c>
      <c r="F14" s="146" t="str">
        <f t="shared" si="4"/>
        <v>Materijal i dijelovi za tekuće i investicijsko održavanje</v>
      </c>
      <c r="G14" s="186" t="s">
        <v>801</v>
      </c>
      <c r="H14" s="146" t="str">
        <f t="shared" si="5"/>
        <v>PROGRAMSKO FINANCIRANJE JAVNIH VISOKIH UČILIŠTA</v>
      </c>
      <c r="I14" s="185">
        <v>249898.43</v>
      </c>
      <c r="J14" s="185">
        <v>274887.87</v>
      </c>
      <c r="K14" s="185">
        <v>280174.87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3227</v>
      </c>
      <c r="F15" s="146" t="str">
        <f t="shared" si="4"/>
        <v>Službena, radna i zaštitna odjeća i obuća</v>
      </c>
      <c r="G15" s="186" t="s">
        <v>801</v>
      </c>
      <c r="H15" s="146" t="str">
        <f t="shared" si="5"/>
        <v>PROGRAMSKO FINANCIRANJE JAVNIH VISOKIH UČILIŠTA</v>
      </c>
      <c r="I15" s="185">
        <v>10572.62</v>
      </c>
      <c r="J15" s="185">
        <v>10572.62</v>
      </c>
      <c r="K15" s="185">
        <v>10572.62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74969.509999999995</v>
      </c>
      <c r="J16" s="185">
        <v>85638.25</v>
      </c>
      <c r="K16" s="185">
        <v>86695.51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245092.63</v>
      </c>
      <c r="J17" s="185">
        <v>264315.58</v>
      </c>
      <c r="K17" s="185">
        <v>264315.58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3233</v>
      </c>
      <c r="F18" s="146" t="str">
        <f t="shared" si="4"/>
        <v>Usluge promidžbe i informiranja</v>
      </c>
      <c r="G18" s="186" t="s">
        <v>801</v>
      </c>
      <c r="H18" s="146" t="str">
        <f t="shared" si="5"/>
        <v>PROGRAMSKO FINANCIRANJE JAVNIH VISOKIH UČILIŠTA</v>
      </c>
      <c r="I18" s="185">
        <v>62474.59</v>
      </c>
      <c r="J18" s="185">
        <v>68722.05</v>
      </c>
      <c r="K18" s="185">
        <v>68722.05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3234</v>
      </c>
      <c r="F19" s="146" t="str">
        <f t="shared" si="4"/>
        <v>Komunalne usluge</v>
      </c>
      <c r="G19" s="186" t="s">
        <v>801</v>
      </c>
      <c r="H19" s="146" t="str">
        <f t="shared" si="5"/>
        <v>PROGRAMSKO FINANCIRANJE JAVNIH VISOKIH UČILIŠTA</v>
      </c>
      <c r="I19" s="185">
        <v>326790.17</v>
      </c>
      <c r="J19" s="185">
        <v>364755.5</v>
      </c>
      <c r="K19" s="185">
        <v>370041.81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3235</v>
      </c>
      <c r="F20" s="146" t="str">
        <f t="shared" si="4"/>
        <v>Zakupnine i najamnine</v>
      </c>
      <c r="G20" s="186" t="s">
        <v>801</v>
      </c>
      <c r="H20" s="146" t="str">
        <f t="shared" si="5"/>
        <v>PROGRAMSKO FINANCIRANJE JAVNIH VISOKIH UČILIŠTA</v>
      </c>
      <c r="I20" s="185">
        <v>12494.92</v>
      </c>
      <c r="J20" s="185">
        <v>15858.93</v>
      </c>
      <c r="K20" s="185">
        <v>15858.93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3237</v>
      </c>
      <c r="F21" s="146" t="str">
        <f t="shared" si="4"/>
        <v>Intelektualne i osobne usluge</v>
      </c>
      <c r="G21" s="186" t="s">
        <v>801</v>
      </c>
      <c r="H21" s="146" t="str">
        <f t="shared" si="5"/>
        <v>PROGRAMSKO FINANCIRANJE JAVNIH VISOKIH UČILIŠTA</v>
      </c>
      <c r="I21" s="185">
        <v>173006.56</v>
      </c>
      <c r="J21" s="185">
        <v>198109.81</v>
      </c>
      <c r="K21" s="185">
        <v>190307.22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3238</v>
      </c>
      <c r="F22" s="146" t="str">
        <f t="shared" si="4"/>
        <v>Računalne usluge</v>
      </c>
      <c r="G22" s="186" t="s">
        <v>801</v>
      </c>
      <c r="H22" s="146" t="str">
        <f t="shared" si="5"/>
        <v>PROGRAMSKO FINANCIRANJE JAVNIH VISOKIH UČILIŠTA</v>
      </c>
      <c r="I22" s="185">
        <v>57668.85</v>
      </c>
      <c r="J22" s="185">
        <v>68722.05</v>
      </c>
      <c r="K22" s="185">
        <v>68722.05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3239</v>
      </c>
      <c r="F23" s="146" t="str">
        <f t="shared" si="4"/>
        <v>Ostale usluge</v>
      </c>
      <c r="G23" s="186" t="s">
        <v>801</v>
      </c>
      <c r="H23" s="146" t="str">
        <f t="shared" si="5"/>
        <v>PROGRAMSKO FINANCIRANJE JAVNIH VISOKIH UČILIŠTA</v>
      </c>
      <c r="I23" s="185">
        <v>168200.82</v>
      </c>
      <c r="J23" s="185">
        <v>164192.84</v>
      </c>
      <c r="K23" s="185">
        <v>163875.66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3241</v>
      </c>
      <c r="F24" s="146" t="str">
        <f t="shared" si="4"/>
        <v>Naknade troškova osobama izvan radnog odnosa</v>
      </c>
      <c r="G24" s="186" t="s">
        <v>801</v>
      </c>
      <c r="H24" s="146" t="str">
        <f t="shared" si="5"/>
        <v>PROGRAMSKO FINANCIRANJE JAVNIH VISOKIH UČILIŠTA</v>
      </c>
      <c r="I24" s="185">
        <v>1922.3</v>
      </c>
      <c r="J24" s="185">
        <v>0</v>
      </c>
      <c r="K24" s="185">
        <v>0</v>
      </c>
      <c r="M24" s="141" t="str">
        <f t="shared" si="6"/>
        <v>324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3292</v>
      </c>
      <c r="F25" s="146" t="str">
        <f t="shared" si="4"/>
        <v>Premije osiguranja</v>
      </c>
      <c r="G25" s="186" t="s">
        <v>801</v>
      </c>
      <c r="H25" s="146" t="str">
        <f t="shared" si="5"/>
        <v>PROGRAMSKO FINANCIRANJE JAVNIH VISOKIH UČILIŠTA</v>
      </c>
      <c r="I25" s="185">
        <v>8650.33</v>
      </c>
      <c r="J25" s="185">
        <v>10572.62</v>
      </c>
      <c r="K25" s="185">
        <v>10572.62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3293</v>
      </c>
      <c r="F26" s="146" t="str">
        <f t="shared" si="4"/>
        <v>Reprezentacija</v>
      </c>
      <c r="G26" s="186" t="s">
        <v>801</v>
      </c>
      <c r="H26" s="146" t="str">
        <f t="shared" si="5"/>
        <v>PROGRAMSKO FINANCIRANJE JAVNIH VISOKIH UČILIŠTA</v>
      </c>
      <c r="I26" s="185">
        <v>9611.48</v>
      </c>
      <c r="J26" s="185">
        <v>5286.31</v>
      </c>
      <c r="K26" s="185">
        <v>5286.31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3294</v>
      </c>
      <c r="F27" s="146" t="str">
        <f t="shared" si="4"/>
        <v>Članarine i norme</v>
      </c>
      <c r="G27" s="186" t="s">
        <v>801</v>
      </c>
      <c r="H27" s="146" t="str">
        <f t="shared" si="5"/>
        <v>PROGRAMSKO FINANCIRANJE JAVNIH VISOKIH UČILIŠTA</v>
      </c>
      <c r="I27" s="185">
        <v>43251.64</v>
      </c>
      <c r="J27" s="185">
        <v>52863.12</v>
      </c>
      <c r="K27" s="185">
        <v>52863.12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3295</v>
      </c>
      <c r="F28" s="146" t="str">
        <f t="shared" si="4"/>
        <v>Pristojbe i naknade</v>
      </c>
      <c r="G28" s="186" t="s">
        <v>801</v>
      </c>
      <c r="H28" s="146" t="str">
        <f t="shared" si="5"/>
        <v>PROGRAMSKO FINANCIRANJE JAVNIH VISOKIH UČILIŠTA</v>
      </c>
      <c r="I28" s="185">
        <v>48057.38</v>
      </c>
      <c r="J28" s="185">
        <v>58149.43</v>
      </c>
      <c r="K28" s="185">
        <v>58149.43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3299</v>
      </c>
      <c r="F29" s="146" t="str">
        <f t="shared" si="4"/>
        <v>Ostali nespomenuti rashodi poslovanja</v>
      </c>
      <c r="G29" s="186" t="s">
        <v>801</v>
      </c>
      <c r="H29" s="146" t="str">
        <f t="shared" si="5"/>
        <v>PROGRAMSKO FINANCIRANJE JAVNIH VISOKIH UČILIŠTA</v>
      </c>
      <c r="I29" s="185">
        <v>240286.89</v>
      </c>
      <c r="J29" s="185">
        <v>264315.58</v>
      </c>
      <c r="K29" s="185">
        <v>269601.89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3431</v>
      </c>
      <c r="F30" s="146" t="str">
        <f t="shared" si="4"/>
        <v>Bankarske usluge i usluge platnog prometa</v>
      </c>
      <c r="G30" s="186" t="s">
        <v>801</v>
      </c>
      <c r="H30" s="146" t="str">
        <f t="shared" si="5"/>
        <v>PROGRAMSKO FINANCIRANJE JAVNIH VISOKIH UČILIŠTA</v>
      </c>
      <c r="I30" s="185">
        <v>61513.440000000002</v>
      </c>
      <c r="J30" s="185">
        <v>58149.43</v>
      </c>
      <c r="K30" s="185">
        <v>58149.43</v>
      </c>
      <c r="M30" s="141" t="str">
        <f t="shared" si="6"/>
        <v>343</v>
      </c>
      <c r="N30" s="141" t="str">
        <f t="shared" si="7"/>
        <v>34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3721</v>
      </c>
      <c r="F31" s="146" t="str">
        <f t="shared" si="4"/>
        <v>Naknade građanima i kućanstvima u novcu</v>
      </c>
      <c r="G31" s="186" t="s">
        <v>801</v>
      </c>
      <c r="H31" s="146" t="str">
        <f t="shared" si="5"/>
        <v>PROGRAMSKO FINANCIRANJE JAVNIH VISOKIH UČILIŠTA</v>
      </c>
      <c r="I31" s="185">
        <v>23067.54</v>
      </c>
      <c r="J31" s="185">
        <v>26431.56</v>
      </c>
      <c r="K31" s="185">
        <v>26431.56</v>
      </c>
      <c r="M31" s="141" t="str">
        <f t="shared" si="6"/>
        <v>372</v>
      </c>
      <c r="N31" s="141" t="str">
        <f t="shared" si="7"/>
        <v>37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/>
      <c r="F32" s="146" t="str">
        <f t="shared" si="4"/>
        <v/>
      </c>
      <c r="G32" s="186" t="s">
        <v>801</v>
      </c>
      <c r="H32" s="146" t="str">
        <f t="shared" si="5"/>
        <v>PROGRAMSKO FINANCIRANJE JAVNIH VISOKIH UČILIŠTA</v>
      </c>
      <c r="I32" s="185"/>
      <c r="J32" s="185"/>
      <c r="K32" s="185"/>
      <c r="M32" s="141" t="str">
        <f t="shared" si="6"/>
        <v/>
      </c>
      <c r="N32" s="141" t="str">
        <f t="shared" si="7"/>
        <v/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4241</v>
      </c>
      <c r="F33" s="146" t="str">
        <f t="shared" si="4"/>
        <v>Knjige</v>
      </c>
      <c r="G33" s="186" t="s">
        <v>801</v>
      </c>
      <c r="H33" s="146" t="str">
        <f t="shared" si="5"/>
        <v>PROGRAMSKO FINANCIRANJE JAVNIH VISOKIH UČILIŠTA</v>
      </c>
      <c r="I33" s="185">
        <v>48057.38</v>
      </c>
      <c r="J33" s="185">
        <v>63435.74</v>
      </c>
      <c r="K33" s="185">
        <v>68722.05</v>
      </c>
      <c r="M33" s="141" t="str">
        <f t="shared" si="6"/>
        <v>424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3111</v>
      </c>
      <c r="F34" s="146" t="str">
        <f t="shared" si="4"/>
        <v>Plaće za redovan rad</v>
      </c>
      <c r="G34" s="186" t="s">
        <v>184</v>
      </c>
      <c r="H34" s="146" t="str">
        <f t="shared" si="5"/>
        <v>REDOVNA DJELATNOST SVEUČILIŠTA U OSIJEKU (IZ EVIDENCIJSKIH PRIHODA)</v>
      </c>
      <c r="I34" s="185">
        <v>265000</v>
      </c>
      <c r="J34" s="185">
        <v>210000</v>
      </c>
      <c r="K34" s="185">
        <v>220000</v>
      </c>
      <c r="M34" s="141" t="str">
        <f t="shared" si="6"/>
        <v>311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3121</v>
      </c>
      <c r="F35" s="146" t="str">
        <f t="shared" si="4"/>
        <v>Ostali rashodi za zaposlene</v>
      </c>
      <c r="G35" s="186" t="s">
        <v>184</v>
      </c>
      <c r="H35" s="146" t="str">
        <f t="shared" si="5"/>
        <v>REDOVNA DJELATNOST SVEUČILIŠTA U OSIJEKU (IZ EVIDENCIJSKIH PRIHODA)</v>
      </c>
      <c r="I35" s="185">
        <v>100000</v>
      </c>
      <c r="J35" s="185">
        <v>60000</v>
      </c>
      <c r="K35" s="185">
        <v>60000</v>
      </c>
      <c r="M35" s="141" t="str">
        <f t="shared" si="6"/>
        <v>312</v>
      </c>
      <c r="N35" s="141" t="str">
        <f t="shared" si="7"/>
        <v>31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3132</v>
      </c>
      <c r="F36" s="146" t="str">
        <f t="shared" si="4"/>
        <v>Doprinosi za obvezno zdravstveno osiguranje</v>
      </c>
      <c r="G36" s="186" t="s">
        <v>184</v>
      </c>
      <c r="H36" s="146" t="str">
        <f t="shared" si="5"/>
        <v>REDOVNA DJELATNOST SVEUČILIŠTA U OSIJEKU (IZ EVIDENCIJSKIH PRIHODA)</v>
      </c>
      <c r="I36" s="185">
        <v>43725</v>
      </c>
      <c r="J36" s="185">
        <v>29700</v>
      </c>
      <c r="K36" s="185">
        <v>29700</v>
      </c>
      <c r="M36" s="141" t="str">
        <f t="shared" si="6"/>
        <v>313</v>
      </c>
      <c r="N36" s="141" t="str">
        <f t="shared" si="7"/>
        <v>31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3211</v>
      </c>
      <c r="F37" s="146" t="str">
        <f t="shared" si="4"/>
        <v>Službena putovanja</v>
      </c>
      <c r="G37" s="186" t="s">
        <v>184</v>
      </c>
      <c r="H37" s="146" t="str">
        <f t="shared" si="5"/>
        <v>REDOVNA DJELATNOST SVEUČILIŠTA U OSIJEKU (IZ EVIDENCIJSKIH PRIHODA)</v>
      </c>
      <c r="I37" s="185">
        <v>660000</v>
      </c>
      <c r="J37" s="185">
        <v>650000</v>
      </c>
      <c r="K37" s="185">
        <v>650000</v>
      </c>
      <c r="M37" s="141" t="str">
        <f t="shared" si="6"/>
        <v>321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3213</v>
      </c>
      <c r="F38" s="146" t="str">
        <f t="shared" si="4"/>
        <v>Stručno usavršavanje zaposlenika</v>
      </c>
      <c r="G38" s="186" t="s">
        <v>184</v>
      </c>
      <c r="H38" s="146" t="str">
        <f t="shared" si="5"/>
        <v>REDOVNA DJELATNOST SVEUČILIŠTA U OSIJEKU (IZ EVIDENCIJSKIH PRIHODA)</v>
      </c>
      <c r="I38" s="185">
        <v>42000</v>
      </c>
      <c r="J38" s="185">
        <v>40000</v>
      </c>
      <c r="K38" s="185">
        <v>40000</v>
      </c>
      <c r="M38" s="141" t="str">
        <f t="shared" si="6"/>
        <v>321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3221</v>
      </c>
      <c r="F39" s="146" t="str">
        <f t="shared" si="4"/>
        <v>Uredski materijal i ostali materijalni rashodi</v>
      </c>
      <c r="G39" s="186" t="s">
        <v>184</v>
      </c>
      <c r="H39" s="146" t="str">
        <f t="shared" si="5"/>
        <v>REDOVNA DJELATNOST SVEUČILIŠTA U OSIJEKU (IZ EVIDENCIJSKIH PRIHODA)</v>
      </c>
      <c r="I39" s="185">
        <v>39000</v>
      </c>
      <c r="J39" s="185">
        <v>35000</v>
      </c>
      <c r="K39" s="185">
        <v>35000</v>
      </c>
      <c r="M39" s="141" t="str">
        <f t="shared" si="6"/>
        <v>322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3222</v>
      </c>
      <c r="F40" s="146" t="str">
        <f t="shared" si="4"/>
        <v>Materijal i sirovine</v>
      </c>
      <c r="G40" s="186" t="s">
        <v>184</v>
      </c>
      <c r="H40" s="146" t="str">
        <f t="shared" si="5"/>
        <v>REDOVNA DJELATNOST SVEUČILIŠTA U OSIJEKU (IZ EVIDENCIJSKIH PRIHODA)</v>
      </c>
      <c r="I40" s="185">
        <v>350000</v>
      </c>
      <c r="J40" s="185">
        <v>220000</v>
      </c>
      <c r="K40" s="185">
        <v>20000</v>
      </c>
      <c r="M40" s="141" t="str">
        <f t="shared" si="6"/>
        <v>322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3223</v>
      </c>
      <c r="F41" s="146" t="str">
        <f t="shared" si="4"/>
        <v>Energija</v>
      </c>
      <c r="G41" s="186" t="s">
        <v>184</v>
      </c>
      <c r="H41" s="146" t="str">
        <f t="shared" si="5"/>
        <v>REDOVNA DJELATNOST SVEUČILIŠTA U OSIJEKU (IZ EVIDENCIJSKIH PRIHODA)</v>
      </c>
      <c r="I41" s="185">
        <v>0</v>
      </c>
      <c r="J41" s="185">
        <v>0</v>
      </c>
      <c r="K41" s="185">
        <v>0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3224</v>
      </c>
      <c r="F42" s="146" t="str">
        <f t="shared" si="4"/>
        <v>Materijal i dijelovi za tekuće i investicijsko održavanje</v>
      </c>
      <c r="G42" s="186" t="s">
        <v>184</v>
      </c>
      <c r="H42" s="146" t="str">
        <f t="shared" si="5"/>
        <v>REDOVNA DJELATNOST SVEUČILIŠTA U OSIJEKU (IZ EVIDENCIJSKIH PRIHODA)</v>
      </c>
      <c r="I42" s="185">
        <v>25000</v>
      </c>
      <c r="J42" s="185">
        <v>25000</v>
      </c>
      <c r="K42" s="185">
        <v>25000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3225</v>
      </c>
      <c r="F43" s="146" t="str">
        <f t="shared" si="4"/>
        <v>Sitni inventar i auto gume</v>
      </c>
      <c r="G43" s="186" t="s">
        <v>184</v>
      </c>
      <c r="H43" s="146" t="str">
        <f t="shared" si="5"/>
        <v>REDOVNA DJELATNOST SVEUČILIŠTA U OSIJEKU (IZ EVIDENCIJSKIH PRIHODA)</v>
      </c>
      <c r="I43" s="185">
        <v>30000</v>
      </c>
      <c r="J43" s="185">
        <v>35000</v>
      </c>
      <c r="K43" s="185">
        <v>35000</v>
      </c>
      <c r="M43" s="141" t="str">
        <f t="shared" si="6"/>
        <v>322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3227</v>
      </c>
      <c r="F44" s="146" t="str">
        <f t="shared" si="4"/>
        <v>Službena, radna i zaštitna odjeća i obuća</v>
      </c>
      <c r="G44" s="186" t="s">
        <v>184</v>
      </c>
      <c r="H44" s="146" t="str">
        <f t="shared" si="5"/>
        <v>REDOVNA DJELATNOST SVEUČILIŠTA U OSIJEKU (IZ EVIDENCIJSKIH PRIHODA)</v>
      </c>
      <c r="I44" s="185">
        <v>4000</v>
      </c>
      <c r="J44" s="185">
        <v>4000</v>
      </c>
      <c r="K44" s="185">
        <v>4000</v>
      </c>
      <c r="M44" s="141" t="str">
        <f t="shared" si="6"/>
        <v>322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3231</v>
      </c>
      <c r="F45" s="146" t="str">
        <f t="shared" si="4"/>
        <v>Usluge telefona, pošte i prijevoza</v>
      </c>
      <c r="G45" s="186" t="s">
        <v>184</v>
      </c>
      <c r="H45" s="146" t="str">
        <f t="shared" si="5"/>
        <v>REDOVNA DJELATNOST SVEUČILIŠTA U OSIJEKU (IZ EVIDENCIJSKIH PRIHODA)</v>
      </c>
      <c r="I45" s="185">
        <v>30000</v>
      </c>
      <c r="J45" s="185">
        <v>35000</v>
      </c>
      <c r="K45" s="185">
        <v>35000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3232</v>
      </c>
      <c r="F46" s="146" t="str">
        <f t="shared" si="4"/>
        <v>Usluge tekućeg i investicijskog održavanja</v>
      </c>
      <c r="G46" s="186" t="s">
        <v>184</v>
      </c>
      <c r="H46" s="146" t="str">
        <f t="shared" si="5"/>
        <v>REDOVNA DJELATNOST SVEUČILIŠTA U OSIJEKU (IZ EVIDENCIJSKIH PRIHODA)</v>
      </c>
      <c r="I46" s="185">
        <v>96000</v>
      </c>
      <c r="J46" s="185">
        <f>98000+50000</f>
        <v>148000</v>
      </c>
      <c r="K46" s="185">
        <v>98000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3233</v>
      </c>
      <c r="F47" s="146" t="str">
        <f t="shared" si="4"/>
        <v>Usluge promidžbe i informiranja</v>
      </c>
      <c r="G47" s="186" t="s">
        <v>184</v>
      </c>
      <c r="H47" s="146" t="str">
        <f t="shared" si="5"/>
        <v>REDOVNA DJELATNOST SVEUČILIŠTA U OSIJEKU (IZ EVIDENCIJSKIH PRIHODA)</v>
      </c>
      <c r="I47" s="185">
        <v>11000</v>
      </c>
      <c r="J47" s="185">
        <v>15000</v>
      </c>
      <c r="K47" s="185">
        <v>17000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3234</v>
      </c>
      <c r="F48" s="146" t="str">
        <f t="shared" si="4"/>
        <v>Komunalne usluge</v>
      </c>
      <c r="G48" s="186" t="s">
        <v>184</v>
      </c>
      <c r="H48" s="146" t="str">
        <f t="shared" si="5"/>
        <v>REDOVNA DJELATNOST SVEUČILIŠTA U OSIJEKU (IZ EVIDENCIJSKIH PRIHODA)</v>
      </c>
      <c r="I48" s="185">
        <v>12000</v>
      </c>
      <c r="J48" s="185">
        <v>15000</v>
      </c>
      <c r="K48" s="185">
        <v>15000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3235</v>
      </c>
      <c r="F49" s="146" t="str">
        <f t="shared" si="4"/>
        <v>Zakupnine i najamnine</v>
      </c>
      <c r="G49" s="186" t="s">
        <v>184</v>
      </c>
      <c r="H49" s="146" t="str">
        <f t="shared" si="5"/>
        <v>REDOVNA DJELATNOST SVEUČILIŠTA U OSIJEKU (IZ EVIDENCIJSKIH PRIHODA)</v>
      </c>
      <c r="I49" s="185">
        <v>29000</v>
      </c>
      <c r="J49" s="185">
        <v>30000</v>
      </c>
      <c r="K49" s="185">
        <v>30000</v>
      </c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3236</v>
      </c>
      <c r="F50" s="146" t="str">
        <f t="shared" si="4"/>
        <v>Zdravstvene i veterinarske usluge</v>
      </c>
      <c r="G50" s="186" t="s">
        <v>184</v>
      </c>
      <c r="H50" s="146" t="str">
        <f t="shared" si="5"/>
        <v>REDOVNA DJELATNOST SVEUČILIŠTA U OSIJEKU (IZ EVIDENCIJSKIH PRIHODA)</v>
      </c>
      <c r="I50" s="185">
        <v>19000</v>
      </c>
      <c r="J50" s="185">
        <v>15000</v>
      </c>
      <c r="K50" s="185">
        <v>15000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3237</v>
      </c>
      <c r="F51" s="146" t="str">
        <f t="shared" si="4"/>
        <v>Intelektualne i osobne usluge</v>
      </c>
      <c r="G51" s="186" t="s">
        <v>184</v>
      </c>
      <c r="H51" s="146" t="str">
        <f t="shared" si="5"/>
        <v>REDOVNA DJELATNOST SVEUČILIŠTA U OSIJEKU (IZ EVIDENCIJSKIH PRIHODA)</v>
      </c>
      <c r="I51" s="185">
        <v>94849</v>
      </c>
      <c r="J51" s="185">
        <v>80000</v>
      </c>
      <c r="K51" s="185">
        <v>80000</v>
      </c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3238</v>
      </c>
      <c r="F52" s="146" t="str">
        <f t="shared" si="4"/>
        <v>Računalne usluge</v>
      </c>
      <c r="G52" s="186" t="s">
        <v>184</v>
      </c>
      <c r="H52" s="146" t="str">
        <f t="shared" si="5"/>
        <v>REDOVNA DJELATNOST SVEUČILIŠTA U OSIJEKU (IZ EVIDENCIJSKIH PRIHODA)</v>
      </c>
      <c r="I52" s="185">
        <v>4500</v>
      </c>
      <c r="J52" s="185">
        <v>5000</v>
      </c>
      <c r="K52" s="185">
        <v>5000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3239</v>
      </c>
      <c r="F53" s="146" t="str">
        <f t="shared" si="4"/>
        <v>Ostale usluge</v>
      </c>
      <c r="G53" s="186" t="s">
        <v>184</v>
      </c>
      <c r="H53" s="146" t="str">
        <f t="shared" si="5"/>
        <v>REDOVNA DJELATNOST SVEUČILIŠTA U OSIJEKU (IZ EVIDENCIJSKIH PRIHODA)</v>
      </c>
      <c r="I53" s="185">
        <f>221000-14849-100000</f>
        <v>106151</v>
      </c>
      <c r="J53" s="185">
        <f>240000-64849</f>
        <v>175151</v>
      </c>
      <c r="K53" s="185">
        <v>240000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3241</v>
      </c>
      <c r="F54" s="146" t="str">
        <f t="shared" si="4"/>
        <v>Naknade troškova osobama izvan radnog odnosa</v>
      </c>
      <c r="G54" s="186" t="s">
        <v>184</v>
      </c>
      <c r="H54" s="146" t="str">
        <f t="shared" si="5"/>
        <v>REDOVNA DJELATNOST SVEUČILIŠTA U OSIJEKU (IZ EVIDENCIJSKIH PRIHODA)</v>
      </c>
      <c r="I54" s="185">
        <v>12000</v>
      </c>
      <c r="J54" s="185">
        <v>15000</v>
      </c>
      <c r="K54" s="185">
        <v>15000</v>
      </c>
      <c r="M54" s="141" t="str">
        <f t="shared" si="6"/>
        <v>324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3292</v>
      </c>
      <c r="F55" s="146" t="str">
        <f t="shared" si="4"/>
        <v>Premije osiguranja</v>
      </c>
      <c r="G55" s="186" t="s">
        <v>184</v>
      </c>
      <c r="H55" s="146" t="str">
        <f t="shared" si="5"/>
        <v>REDOVNA DJELATNOST SVEUČILIŠTA U OSIJEKU (IZ EVIDENCIJSKIH PRIHODA)</v>
      </c>
      <c r="I55" s="185">
        <v>6000</v>
      </c>
      <c r="J55" s="185">
        <v>8000</v>
      </c>
      <c r="K55" s="185">
        <v>10000</v>
      </c>
      <c r="M55" s="141" t="str">
        <f t="shared" si="6"/>
        <v>329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3293</v>
      </c>
      <c r="F56" s="146" t="str">
        <f t="shared" si="4"/>
        <v>Reprezentacija</v>
      </c>
      <c r="G56" s="186" t="s">
        <v>184</v>
      </c>
      <c r="H56" s="146" t="str">
        <f t="shared" si="5"/>
        <v>REDOVNA DJELATNOST SVEUČILIŠTA U OSIJEKU (IZ EVIDENCIJSKIH PRIHODA)</v>
      </c>
      <c r="I56" s="185">
        <v>160000</v>
      </c>
      <c r="J56" s="185">
        <v>165000</v>
      </c>
      <c r="K56" s="185">
        <v>175000</v>
      </c>
      <c r="M56" s="141" t="str">
        <f t="shared" si="6"/>
        <v>329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3294</v>
      </c>
      <c r="F57" s="146" t="str">
        <f t="shared" si="4"/>
        <v>Članarine i norme</v>
      </c>
      <c r="G57" s="186" t="s">
        <v>184</v>
      </c>
      <c r="H57" s="146" t="str">
        <f t="shared" si="5"/>
        <v>REDOVNA DJELATNOST SVEUČILIŠTA U OSIJEKU (IZ EVIDENCIJSKIH PRIHODA)</v>
      </c>
      <c r="I57" s="185">
        <v>3000</v>
      </c>
      <c r="J57" s="185">
        <v>3000</v>
      </c>
      <c r="K57" s="185">
        <v>3000</v>
      </c>
      <c r="M57" s="141" t="str">
        <f t="shared" si="6"/>
        <v>329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3295</v>
      </c>
      <c r="F58" s="146" t="str">
        <f t="shared" si="4"/>
        <v>Pristojbe i naknade</v>
      </c>
      <c r="G58" s="186" t="s">
        <v>184</v>
      </c>
      <c r="H58" s="146" t="str">
        <f t="shared" si="5"/>
        <v>REDOVNA DJELATNOST SVEUČILIŠTA U OSIJEKU (IZ EVIDENCIJSKIH PRIHODA)</v>
      </c>
      <c r="I58" s="185">
        <v>2000</v>
      </c>
      <c r="J58" s="185">
        <v>2000</v>
      </c>
      <c r="K58" s="185">
        <v>2000</v>
      </c>
      <c r="M58" s="141" t="str">
        <f t="shared" si="6"/>
        <v>329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3299</v>
      </c>
      <c r="F59" s="146" t="str">
        <f t="shared" si="4"/>
        <v>Ostali nespomenuti rashodi poslovanja</v>
      </c>
      <c r="G59" s="186" t="s">
        <v>184</v>
      </c>
      <c r="H59" s="146" t="str">
        <f t="shared" si="5"/>
        <v>REDOVNA DJELATNOST SVEUČILIŠTA U OSIJEKU (IZ EVIDENCIJSKIH PRIHODA)</v>
      </c>
      <c r="I59" s="185">
        <v>50000</v>
      </c>
      <c r="J59" s="185">
        <v>30000</v>
      </c>
      <c r="K59" s="185">
        <v>20000</v>
      </c>
      <c r="M59" s="141" t="str">
        <f t="shared" si="6"/>
        <v>329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3431</v>
      </c>
      <c r="F60" s="146" t="str">
        <f t="shared" si="4"/>
        <v>Bankarske usluge i usluge platnog prometa</v>
      </c>
      <c r="G60" s="186" t="s">
        <v>184</v>
      </c>
      <c r="H60" s="146" t="str">
        <f t="shared" si="5"/>
        <v>REDOVNA DJELATNOST SVEUČILIŠTA U OSIJEKU (IZ EVIDENCIJSKIH PRIHODA)</v>
      </c>
      <c r="I60" s="185">
        <v>4000</v>
      </c>
      <c r="J60" s="185">
        <v>4000</v>
      </c>
      <c r="K60" s="185">
        <v>5000</v>
      </c>
      <c r="M60" s="141" t="str">
        <f t="shared" si="6"/>
        <v>343</v>
      </c>
      <c r="N60" s="141" t="str">
        <f t="shared" si="7"/>
        <v>34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4221</v>
      </c>
      <c r="F61" s="146" t="str">
        <f t="shared" si="4"/>
        <v>Uredska oprema i namještaj</v>
      </c>
      <c r="G61" s="186" t="s">
        <v>184</v>
      </c>
      <c r="H61" s="146" t="str">
        <f t="shared" si="5"/>
        <v>REDOVNA DJELATNOST SVEUČILIŠTA U OSIJEKU (IZ EVIDENCIJSKIH PRIHODA)</v>
      </c>
      <c r="I61" s="185">
        <v>30000</v>
      </c>
      <c r="J61" s="185">
        <v>30000</v>
      </c>
      <c r="K61" s="185">
        <v>30000</v>
      </c>
      <c r="M61" s="141" t="str">
        <f t="shared" si="6"/>
        <v>422</v>
      </c>
      <c r="N61" s="141" t="str">
        <f t="shared" si="7"/>
        <v>42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4224</v>
      </c>
      <c r="F62" s="146" t="str">
        <f t="shared" si="4"/>
        <v>Medicinska i laboratorijska oprema</v>
      </c>
      <c r="G62" s="186" t="s">
        <v>184</v>
      </c>
      <c r="H62" s="146" t="str">
        <f t="shared" si="5"/>
        <v>REDOVNA DJELATNOST SVEUČILIŠTA U OSIJEKU (IZ EVIDENCIJSKIH PRIHODA)</v>
      </c>
      <c r="I62" s="185">
        <v>100000</v>
      </c>
      <c r="J62" s="185">
        <v>60000</v>
      </c>
      <c r="K62" s="185">
        <v>100000</v>
      </c>
      <c r="M62" s="141" t="str">
        <f t="shared" si="6"/>
        <v>422</v>
      </c>
      <c r="N62" s="141" t="str">
        <f t="shared" si="7"/>
        <v>42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4124</v>
      </c>
      <c r="F63" s="146" t="str">
        <f t="shared" si="4"/>
        <v>Ostala prava</v>
      </c>
      <c r="G63" s="186" t="s">
        <v>184</v>
      </c>
      <c r="H63" s="146" t="str">
        <f t="shared" si="5"/>
        <v>REDOVNA DJELATNOST SVEUČILIŠTA U OSIJEKU (IZ EVIDENCIJSKIH PRIHODA)</v>
      </c>
      <c r="I63" s="185">
        <v>600000</v>
      </c>
      <c r="J63" s="185">
        <v>550000</v>
      </c>
      <c r="K63" s="185">
        <v>500000</v>
      </c>
      <c r="M63" s="141" t="str">
        <f t="shared" si="6"/>
        <v>412</v>
      </c>
      <c r="N63" s="141" t="str">
        <f t="shared" si="7"/>
        <v>41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3111</v>
      </c>
      <c r="F64" s="146" t="str">
        <f t="shared" si="4"/>
        <v>Plaće za redovan rad</v>
      </c>
      <c r="G64" s="186" t="s">
        <v>184</v>
      </c>
      <c r="H64" s="146" t="str">
        <f t="shared" si="5"/>
        <v>REDOVNA DJELATNOST SVEUČILIŠTA U OSIJEKU (IZ EVIDENCIJSKIH PRIHODA)</v>
      </c>
      <c r="I64" s="185">
        <f>550000+400000</f>
        <v>950000</v>
      </c>
      <c r="J64" s="185">
        <v>950000</v>
      </c>
      <c r="K64" s="185">
        <v>950000</v>
      </c>
      <c r="M64" s="141" t="str">
        <f t="shared" si="6"/>
        <v>311</v>
      </c>
      <c r="N64" s="141" t="str">
        <f t="shared" si="7"/>
        <v>31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3121</v>
      </c>
      <c r="F65" s="146" t="str">
        <f t="shared" si="4"/>
        <v>Ostali rashodi za zaposlene</v>
      </c>
      <c r="G65" s="186" t="s">
        <v>184</v>
      </c>
      <c r="H65" s="146" t="str">
        <f t="shared" si="5"/>
        <v>REDOVNA DJELATNOST SVEUČILIŠTA U OSIJEKU (IZ EVIDENCIJSKIH PRIHODA)</v>
      </c>
      <c r="I65" s="185">
        <v>25000</v>
      </c>
      <c r="J65" s="185">
        <v>25000</v>
      </c>
      <c r="K65" s="185">
        <v>25000</v>
      </c>
      <c r="M65" s="141" t="str">
        <f t="shared" si="6"/>
        <v>312</v>
      </c>
      <c r="N65" s="141" t="str">
        <f t="shared" si="7"/>
        <v>31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3132</v>
      </c>
      <c r="F66" s="146" t="str">
        <f t="shared" si="4"/>
        <v>Doprinosi za obvezno zdravstveno osiguranje</v>
      </c>
      <c r="G66" s="186" t="s">
        <v>184</v>
      </c>
      <c r="H66" s="146" t="str">
        <f t="shared" si="5"/>
        <v>REDOVNA DJELATNOST SVEUČILIŠTA U OSIJEKU (IZ EVIDENCIJSKIH PRIHODA)</v>
      </c>
      <c r="I66" s="185">
        <v>156750</v>
      </c>
      <c r="J66" s="185">
        <v>156750</v>
      </c>
      <c r="K66" s="185">
        <v>156750</v>
      </c>
      <c r="M66" s="141" t="str">
        <f t="shared" si="6"/>
        <v>313</v>
      </c>
      <c r="N66" s="141" t="str">
        <f t="shared" si="7"/>
        <v>31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3211</v>
      </c>
      <c r="F67" s="146" t="str">
        <f t="shared" si="4"/>
        <v>Službena putovanja</v>
      </c>
      <c r="G67" s="186" t="s">
        <v>184</v>
      </c>
      <c r="H67" s="146" t="str">
        <f t="shared" si="5"/>
        <v>REDOVNA DJELATNOST SVEUČILIŠTA U OSIJEKU (IZ EVIDENCIJSKIH PRIHODA)</v>
      </c>
      <c r="I67" s="185">
        <v>540000</v>
      </c>
      <c r="J67" s="185">
        <v>535000</v>
      </c>
      <c r="K67" s="185">
        <v>520000</v>
      </c>
      <c r="M67" s="141" t="str">
        <f t="shared" si="6"/>
        <v>321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3213</v>
      </c>
      <c r="F68" s="146" t="str">
        <f t="shared" ref="F68:F131" si="13">IFERROR(VLOOKUP(E68,$R$5:$T$129,2,FALSE),"")</f>
        <v>Stručno usavršavanje zaposlenika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42000</v>
      </c>
      <c r="J68" s="185">
        <v>45000</v>
      </c>
      <c r="K68" s="185">
        <v>45000</v>
      </c>
      <c r="M68" s="141" t="str">
        <f t="shared" ref="M68:M131" si="15">LEFT(E68,3)</f>
        <v>321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3221</v>
      </c>
      <c r="F69" s="146" t="str">
        <f t="shared" si="13"/>
        <v>Uredski materijal i ostali materijalni rashodi</v>
      </c>
      <c r="G69" s="186" t="s">
        <v>184</v>
      </c>
      <c r="H69" s="146" t="str">
        <f t="shared" si="14"/>
        <v>REDOVNA DJELATNOST SVEUČILIŠTA U OSIJEKU (IZ EVIDENCIJSKIH PRIHODA)</v>
      </c>
      <c r="I69" s="185">
        <v>170000</v>
      </c>
      <c r="J69" s="185">
        <v>165000</v>
      </c>
      <c r="K69" s="185">
        <v>140000</v>
      </c>
      <c r="M69" s="141" t="str">
        <f t="shared" si="15"/>
        <v>322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3222</v>
      </c>
      <c r="F70" s="146" t="str">
        <f t="shared" si="13"/>
        <v>Materijal i sirovine</v>
      </c>
      <c r="G70" s="186" t="s">
        <v>184</v>
      </c>
      <c r="H70" s="146" t="str">
        <f t="shared" si="14"/>
        <v>REDOVNA DJELATNOST SVEUČILIŠTA U OSIJEKU (IZ EVIDENCIJSKIH PRIHODA)</v>
      </c>
      <c r="I70" s="185">
        <v>290000</v>
      </c>
      <c r="J70" s="185">
        <v>275000</v>
      </c>
      <c r="K70" s="185">
        <v>252000</v>
      </c>
      <c r="M70" s="141" t="str">
        <f t="shared" si="15"/>
        <v>322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3223</v>
      </c>
      <c r="F71" s="146" t="str">
        <f t="shared" si="13"/>
        <v>Energija</v>
      </c>
      <c r="G71" s="186" t="s">
        <v>184</v>
      </c>
      <c r="H71" s="146" t="str">
        <f t="shared" si="14"/>
        <v>REDOVNA DJELATNOST SVEUČILIŠTA U OSIJEKU (IZ EVIDENCIJSKIH PRIHODA)</v>
      </c>
      <c r="I71" s="185">
        <v>0</v>
      </c>
      <c r="J71" s="185">
        <v>0</v>
      </c>
      <c r="K71" s="185">
        <v>0</v>
      </c>
      <c r="M71" s="141" t="str">
        <f t="shared" si="15"/>
        <v>322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3224</v>
      </c>
      <c r="F72" s="146" t="str">
        <f t="shared" si="13"/>
        <v>Materijal i dijelovi za tekuće i investicijsko održavanje</v>
      </c>
      <c r="G72" s="186" t="s">
        <v>184</v>
      </c>
      <c r="H72" s="146" t="str">
        <f t="shared" si="14"/>
        <v>REDOVNA DJELATNOST SVEUČILIŠTA U OSIJEKU (IZ EVIDENCIJSKIH PRIHODA)</v>
      </c>
      <c r="I72" s="185">
        <v>85000</v>
      </c>
      <c r="J72" s="185">
        <v>75000</v>
      </c>
      <c r="K72" s="185">
        <v>70000</v>
      </c>
      <c r="M72" s="141" t="str">
        <f t="shared" si="15"/>
        <v>322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3225</v>
      </c>
      <c r="F73" s="146" t="str">
        <f t="shared" si="13"/>
        <v>Sitni inventar i auto gume</v>
      </c>
      <c r="G73" s="186" t="s">
        <v>184</v>
      </c>
      <c r="H73" s="146" t="str">
        <f t="shared" si="14"/>
        <v>REDOVNA DJELATNOST SVEUČILIŠTA U OSIJEKU (IZ EVIDENCIJSKIH PRIHODA)</v>
      </c>
      <c r="I73" s="185">
        <v>23000</v>
      </c>
      <c r="J73" s="185">
        <v>25000</v>
      </c>
      <c r="K73" s="185">
        <v>25500</v>
      </c>
      <c r="M73" s="141" t="str">
        <f t="shared" si="15"/>
        <v>322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3227</v>
      </c>
      <c r="F74" s="146" t="str">
        <f t="shared" si="13"/>
        <v>Službena, radna i zaštitna odjeća i obuća</v>
      </c>
      <c r="G74" s="186" t="s">
        <v>184</v>
      </c>
      <c r="H74" s="146" t="str">
        <f t="shared" si="14"/>
        <v>REDOVNA DJELATNOST SVEUČILIŠTA U OSIJEKU (IZ EVIDENCIJSKIH PRIHODA)</v>
      </c>
      <c r="I74" s="185">
        <v>45000</v>
      </c>
      <c r="J74" s="185">
        <v>45000</v>
      </c>
      <c r="K74" s="185">
        <v>45000</v>
      </c>
      <c r="M74" s="141" t="str">
        <f t="shared" si="15"/>
        <v>322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3231</v>
      </c>
      <c r="F75" s="146" t="str">
        <f t="shared" si="13"/>
        <v>Usluge telefona, pošte i prijevoza</v>
      </c>
      <c r="G75" s="186" t="s">
        <v>184</v>
      </c>
      <c r="H75" s="146" t="str">
        <f t="shared" si="14"/>
        <v>REDOVNA DJELATNOST SVEUČILIŠTA U OSIJEKU (IZ EVIDENCIJSKIH PRIHODA)</v>
      </c>
      <c r="I75" s="185">
        <v>89000</v>
      </c>
      <c r="J75" s="185">
        <v>90000</v>
      </c>
      <c r="K75" s="185">
        <v>93000</v>
      </c>
      <c r="M75" s="141" t="str">
        <f t="shared" si="15"/>
        <v>323</v>
      </c>
      <c r="N75" s="141" t="str">
        <f t="shared" si="16"/>
        <v>32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3232</v>
      </c>
      <c r="F76" s="146" t="str">
        <f t="shared" si="13"/>
        <v>Usluge tekućeg i investicijskog održavanja</v>
      </c>
      <c r="G76" s="186" t="s">
        <v>184</v>
      </c>
      <c r="H76" s="146" t="str">
        <f t="shared" si="14"/>
        <v>REDOVNA DJELATNOST SVEUČILIŠTA U OSIJEKU (IZ EVIDENCIJSKIH PRIHODA)</v>
      </c>
      <c r="I76" s="185">
        <v>220000</v>
      </c>
      <c r="J76" s="185">
        <v>150000</v>
      </c>
      <c r="K76" s="185">
        <v>100000</v>
      </c>
      <c r="M76" s="141" t="str">
        <f t="shared" si="15"/>
        <v>323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3233</v>
      </c>
      <c r="F77" s="146" t="str">
        <f t="shared" si="13"/>
        <v>Usluge promidžbe i informiranja</v>
      </c>
      <c r="G77" s="186" t="s">
        <v>184</v>
      </c>
      <c r="H77" s="146" t="str">
        <f t="shared" si="14"/>
        <v>REDOVNA DJELATNOST SVEUČILIŠTA U OSIJEKU (IZ EVIDENCIJSKIH PRIHODA)</v>
      </c>
      <c r="I77" s="185">
        <v>61000</v>
      </c>
      <c r="J77" s="185">
        <v>65000</v>
      </c>
      <c r="K77" s="185">
        <v>65000</v>
      </c>
      <c r="M77" s="141" t="str">
        <f t="shared" si="15"/>
        <v>323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3234</v>
      </c>
      <c r="F78" s="146" t="str">
        <f t="shared" si="13"/>
        <v>Komunalne usluge</v>
      </c>
      <c r="G78" s="186" t="s">
        <v>184</v>
      </c>
      <c r="H78" s="146" t="str">
        <f t="shared" si="14"/>
        <v>REDOVNA DJELATNOST SVEUČILIŠTA U OSIJEKU (IZ EVIDENCIJSKIH PRIHODA)</v>
      </c>
      <c r="I78" s="185">
        <v>152000</v>
      </c>
      <c r="J78" s="185">
        <v>180000</v>
      </c>
      <c r="K78" s="185">
        <v>180000</v>
      </c>
      <c r="M78" s="141" t="str">
        <f t="shared" si="15"/>
        <v>323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2"/>
        <v>Ostali prihodi za posebne namjene</v>
      </c>
      <c r="E79" s="151">
        <v>3235</v>
      </c>
      <c r="F79" s="146" t="str">
        <f t="shared" si="13"/>
        <v>Zakupnine i najamnine</v>
      </c>
      <c r="G79" s="186" t="s">
        <v>184</v>
      </c>
      <c r="H79" s="146" t="str">
        <f t="shared" si="14"/>
        <v>REDOVNA DJELATNOST SVEUČILIŠTA U OSIJEKU (IZ EVIDENCIJSKIH PRIHODA)</v>
      </c>
      <c r="I79" s="185">
        <v>25000</v>
      </c>
      <c r="J79" s="185">
        <v>25000</v>
      </c>
      <c r="K79" s="185">
        <v>25000</v>
      </c>
      <c r="M79" s="141" t="str">
        <f t="shared" si="15"/>
        <v>323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3236</v>
      </c>
      <c r="F80" s="146" t="str">
        <f t="shared" si="13"/>
        <v>Zdravstvene i veterinarske usluge</v>
      </c>
      <c r="G80" s="186" t="s">
        <v>184</v>
      </c>
      <c r="H80" s="146" t="str">
        <f t="shared" si="14"/>
        <v>REDOVNA DJELATNOST SVEUČILIŠTA U OSIJEKU (IZ EVIDENCIJSKIH PRIHODA)</v>
      </c>
      <c r="I80" s="185">
        <v>26000</v>
      </c>
      <c r="J80" s="185">
        <v>25000</v>
      </c>
      <c r="K80" s="185">
        <v>25000</v>
      </c>
      <c r="M80" s="141" t="str">
        <f t="shared" si="15"/>
        <v>323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2"/>
        <v>Ostali prihodi za posebne namjene</v>
      </c>
      <c r="E81" s="151">
        <v>3237</v>
      </c>
      <c r="F81" s="146" t="str">
        <f t="shared" si="13"/>
        <v>Intelektualne i osobne usluge</v>
      </c>
      <c r="G81" s="186" t="s">
        <v>184</v>
      </c>
      <c r="H81" s="146" t="str">
        <f t="shared" si="14"/>
        <v>REDOVNA DJELATNOST SVEUČILIŠTA U OSIJEKU (IZ EVIDENCIJSKIH PRIHODA)</v>
      </c>
      <c r="I81" s="185">
        <v>150000</v>
      </c>
      <c r="J81" s="185">
        <v>170000</v>
      </c>
      <c r="K81" s="185">
        <v>170000</v>
      </c>
      <c r="M81" s="141" t="str">
        <f t="shared" si="15"/>
        <v>323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3238</v>
      </c>
      <c r="F82" s="146" t="str">
        <f t="shared" si="13"/>
        <v>Računalne usluge</v>
      </c>
      <c r="G82" s="186" t="s">
        <v>184</v>
      </c>
      <c r="H82" s="146" t="str">
        <f t="shared" si="14"/>
        <v>REDOVNA DJELATNOST SVEUČILIŠTA U OSIJEKU (IZ EVIDENCIJSKIH PRIHODA)</v>
      </c>
      <c r="I82" s="185">
        <v>26000</v>
      </c>
      <c r="J82" s="185">
        <v>30000</v>
      </c>
      <c r="K82" s="185">
        <v>30000</v>
      </c>
      <c r="M82" s="141" t="str">
        <f t="shared" si="15"/>
        <v>323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3239</v>
      </c>
      <c r="F83" s="146" t="str">
        <f t="shared" si="13"/>
        <v>Ostale usluge</v>
      </c>
      <c r="G83" s="186" t="s">
        <v>184</v>
      </c>
      <c r="H83" s="146" t="str">
        <f t="shared" si="14"/>
        <v>REDOVNA DJELATNOST SVEUČILIŠTA U OSIJEKU (IZ EVIDENCIJSKIH PRIHODA)</v>
      </c>
      <c r="I83" s="185">
        <v>150000</v>
      </c>
      <c r="J83" s="185">
        <v>120000</v>
      </c>
      <c r="K83" s="185">
        <v>90000</v>
      </c>
      <c r="M83" s="141" t="str">
        <f t="shared" si="15"/>
        <v>323</v>
      </c>
      <c r="N83" s="141" t="str">
        <f t="shared" si="16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3241</v>
      </c>
      <c r="F84" s="146" t="str">
        <f t="shared" si="13"/>
        <v>Naknade troškova osobama izvan radnog odnosa</v>
      </c>
      <c r="G84" s="186" t="s">
        <v>184</v>
      </c>
      <c r="H84" s="146" t="str">
        <f t="shared" si="14"/>
        <v>REDOVNA DJELATNOST SVEUČILIŠTA U OSIJEKU (IZ EVIDENCIJSKIH PRIHODA)</v>
      </c>
      <c r="I84" s="185">
        <v>50000</v>
      </c>
      <c r="J84" s="185">
        <v>40000</v>
      </c>
      <c r="K84" s="185">
        <v>40000</v>
      </c>
      <c r="M84" s="141" t="str">
        <f t="shared" si="15"/>
        <v>324</v>
      </c>
      <c r="N84" s="141" t="str">
        <f t="shared" si="16"/>
        <v>32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2"/>
        <v>Ostali prihodi za posebne namjene</v>
      </c>
      <c r="E85" s="151">
        <v>3292</v>
      </c>
      <c r="F85" s="146" t="str">
        <f t="shared" si="13"/>
        <v>Premije osiguranja</v>
      </c>
      <c r="G85" s="186" t="s">
        <v>184</v>
      </c>
      <c r="H85" s="146" t="str">
        <f t="shared" si="14"/>
        <v>REDOVNA DJELATNOST SVEUČILIŠTA U OSIJEKU (IZ EVIDENCIJSKIH PRIHODA)</v>
      </c>
      <c r="I85" s="185">
        <v>35000</v>
      </c>
      <c r="J85" s="185">
        <v>35000</v>
      </c>
      <c r="K85" s="185">
        <v>35000</v>
      </c>
      <c r="M85" s="141" t="str">
        <f t="shared" si="15"/>
        <v>329</v>
      </c>
      <c r="N85" s="141" t="str">
        <f t="shared" si="16"/>
        <v>32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3293</v>
      </c>
      <c r="F86" s="146" t="str">
        <f t="shared" si="13"/>
        <v>Reprezentacija</v>
      </c>
      <c r="G86" s="186" t="s">
        <v>184</v>
      </c>
      <c r="H86" s="146" t="str">
        <f t="shared" si="14"/>
        <v>REDOVNA DJELATNOST SVEUČILIŠTA U OSIJEKU (IZ EVIDENCIJSKIH PRIHODA)</v>
      </c>
      <c r="I86" s="185">
        <v>220000</v>
      </c>
      <c r="J86" s="185">
        <v>215000</v>
      </c>
      <c r="K86" s="185">
        <v>210000</v>
      </c>
      <c r="M86" s="141" t="str">
        <f t="shared" si="15"/>
        <v>329</v>
      </c>
      <c r="N86" s="141" t="str">
        <f t="shared" si="16"/>
        <v>32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3294</v>
      </c>
      <c r="F87" s="146" t="str">
        <f t="shared" si="13"/>
        <v>Članarine i norme</v>
      </c>
      <c r="G87" s="186" t="s">
        <v>184</v>
      </c>
      <c r="H87" s="146" t="str">
        <f t="shared" si="14"/>
        <v>REDOVNA DJELATNOST SVEUČILIŠTA U OSIJEKU (IZ EVIDENCIJSKIH PRIHODA)</v>
      </c>
      <c r="I87" s="185">
        <v>3500</v>
      </c>
      <c r="J87" s="185">
        <v>4000</v>
      </c>
      <c r="K87" s="185">
        <v>4000</v>
      </c>
      <c r="M87" s="141" t="str">
        <f t="shared" si="15"/>
        <v>329</v>
      </c>
      <c r="N87" s="141" t="str">
        <f t="shared" si="16"/>
        <v>32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2"/>
        <v>Ostali prihodi za posebne namjene</v>
      </c>
      <c r="E88" s="151">
        <v>3295</v>
      </c>
      <c r="F88" s="146" t="str">
        <f t="shared" si="13"/>
        <v>Pristojbe i naknade</v>
      </c>
      <c r="G88" s="186" t="s">
        <v>184</v>
      </c>
      <c r="H88" s="146" t="str">
        <f t="shared" si="14"/>
        <v>REDOVNA DJELATNOST SVEUČILIŠTA U OSIJEKU (IZ EVIDENCIJSKIH PRIHODA)</v>
      </c>
      <c r="I88" s="185">
        <v>40000</v>
      </c>
      <c r="J88" s="185">
        <v>45000</v>
      </c>
      <c r="K88" s="185">
        <v>45000</v>
      </c>
      <c r="M88" s="141" t="str">
        <f t="shared" si="15"/>
        <v>329</v>
      </c>
      <c r="N88" s="141" t="str">
        <f t="shared" si="16"/>
        <v>32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2"/>
        <v>Ostali prihodi za posebne namjene</v>
      </c>
      <c r="E89" s="151">
        <v>3299</v>
      </c>
      <c r="F89" s="146" t="str">
        <f t="shared" si="13"/>
        <v>Ostali nespomenuti rashodi poslovanja</v>
      </c>
      <c r="G89" s="186" t="s">
        <v>184</v>
      </c>
      <c r="H89" s="146" t="str">
        <f t="shared" si="14"/>
        <v>REDOVNA DJELATNOST SVEUČILIŠTA U OSIJEKU (IZ EVIDENCIJSKIH PRIHODA)</v>
      </c>
      <c r="I89" s="185">
        <v>160000</v>
      </c>
      <c r="J89" s="185">
        <v>170000</v>
      </c>
      <c r="K89" s="185">
        <f>60000+80000</f>
        <v>140000</v>
      </c>
      <c r="M89" s="141" t="str">
        <f t="shared" si="15"/>
        <v>329</v>
      </c>
      <c r="N89" s="141" t="str">
        <f t="shared" si="16"/>
        <v>32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2"/>
        <v>Ostali prihodi za posebne namjene</v>
      </c>
      <c r="E90" s="151">
        <v>3431</v>
      </c>
      <c r="F90" s="146" t="str">
        <f t="shared" si="13"/>
        <v>Bankarske usluge i usluge platnog prometa</v>
      </c>
      <c r="G90" s="186" t="s">
        <v>184</v>
      </c>
      <c r="H90" s="146" t="str">
        <f t="shared" si="14"/>
        <v>REDOVNA DJELATNOST SVEUČILIŠTA U OSIJEKU (IZ EVIDENCIJSKIH PRIHODA)</v>
      </c>
      <c r="I90" s="185">
        <v>54000</v>
      </c>
      <c r="J90" s="185">
        <v>60000</v>
      </c>
      <c r="K90" s="185">
        <v>60000</v>
      </c>
      <c r="M90" s="141" t="str">
        <f t="shared" si="15"/>
        <v>343</v>
      </c>
      <c r="N90" s="141" t="str">
        <f t="shared" si="16"/>
        <v>34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2"/>
        <v>Ostali prihodi za posebne namjene</v>
      </c>
      <c r="E91" s="151">
        <v>3434</v>
      </c>
      <c r="F91" s="146" t="str">
        <f t="shared" si="13"/>
        <v>Ostali nespomenuti financijski rashodi</v>
      </c>
      <c r="G91" s="186" t="s">
        <v>184</v>
      </c>
      <c r="H91" s="146" t="str">
        <f t="shared" si="14"/>
        <v>REDOVNA DJELATNOST SVEUČILIŠTA U OSIJEKU (IZ EVIDENCIJSKIH PRIHODA)</v>
      </c>
      <c r="I91" s="185">
        <v>17000</v>
      </c>
      <c r="J91" s="185">
        <v>20000</v>
      </c>
      <c r="K91" s="185">
        <v>20000</v>
      </c>
      <c r="M91" s="141" t="str">
        <f t="shared" si="15"/>
        <v>343</v>
      </c>
      <c r="N91" s="141" t="str">
        <f t="shared" si="16"/>
        <v>34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2"/>
        <v>Ostali prihodi za posebne namjene</v>
      </c>
      <c r="E92" s="151">
        <v>4221</v>
      </c>
      <c r="F92" s="146" t="str">
        <f t="shared" si="13"/>
        <v>Uredska oprema i namještaj</v>
      </c>
      <c r="G92" s="186" t="s">
        <v>184</v>
      </c>
      <c r="H92" s="146" t="str">
        <f t="shared" si="14"/>
        <v>REDOVNA DJELATNOST SVEUČILIŠTA U OSIJEKU (IZ EVIDENCIJSKIH PRIHODA)</v>
      </c>
      <c r="I92" s="185">
        <v>60000</v>
      </c>
      <c r="J92" s="185">
        <v>50000</v>
      </c>
      <c r="K92" s="185">
        <v>50000</v>
      </c>
      <c r="M92" s="141" t="str">
        <f t="shared" si="15"/>
        <v>422</v>
      </c>
      <c r="N92" s="141" t="str">
        <f t="shared" si="16"/>
        <v>42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2"/>
        <v>Ostali prihodi za posebne namjene</v>
      </c>
      <c r="E93" s="151">
        <v>4224</v>
      </c>
      <c r="F93" s="146" t="str">
        <f t="shared" si="13"/>
        <v>Medicinska i laboratorijska oprema</v>
      </c>
      <c r="G93" s="186" t="s">
        <v>184</v>
      </c>
      <c r="H93" s="146" t="str">
        <f t="shared" si="14"/>
        <v>REDOVNA DJELATNOST SVEUČILIŠTA U OSIJEKU (IZ EVIDENCIJSKIH PRIHODA)</v>
      </c>
      <c r="I93" s="185">
        <v>160000</v>
      </c>
      <c r="J93" s="185">
        <v>140000</v>
      </c>
      <c r="K93" s="185">
        <f>80000+20000</f>
        <v>100000</v>
      </c>
      <c r="M93" s="141" t="str">
        <f t="shared" si="15"/>
        <v>422</v>
      </c>
      <c r="N93" s="141" t="str">
        <f t="shared" si="16"/>
        <v>42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2"/>
        <v>Ostali prihodi za posebne namjene</v>
      </c>
      <c r="E94" s="151">
        <v>4124</v>
      </c>
      <c r="F94" s="146" t="str">
        <f t="shared" si="13"/>
        <v>Ostala prava</v>
      </c>
      <c r="G94" s="186" t="s">
        <v>184</v>
      </c>
      <c r="H94" s="146" t="str">
        <f t="shared" si="14"/>
        <v>REDOVNA DJELATNOST SVEUČILIŠTA U OSIJEKU (IZ EVIDENCIJSKIH PRIHODA)</v>
      </c>
      <c r="I94" s="185">
        <v>200000</v>
      </c>
      <c r="J94" s="185">
        <v>0</v>
      </c>
      <c r="K94" s="185">
        <v>0</v>
      </c>
      <c r="M94" s="141" t="str">
        <f t="shared" si="15"/>
        <v>412</v>
      </c>
      <c r="N94" s="141" t="str">
        <f t="shared" si="16"/>
        <v>41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52</v>
      </c>
      <c r="D95" s="146" t="str">
        <f t="shared" si="12"/>
        <v>Ostale pomoći</v>
      </c>
      <c r="E95" s="151">
        <v>3715</v>
      </c>
      <c r="F95" s="146" t="str">
        <f t="shared" si="13"/>
        <v>Naknade građanima i kućanstvima na temelju osiguranja iz EU</v>
      </c>
      <c r="G95" s="186"/>
      <c r="H95" s="146" t="str">
        <f t="shared" si="14"/>
        <v/>
      </c>
      <c r="I95" s="185">
        <v>5100000</v>
      </c>
      <c r="J95" s="185">
        <v>5150000</v>
      </c>
      <c r="K95" s="185">
        <v>5200000</v>
      </c>
      <c r="M95" s="141" t="str">
        <f t="shared" si="15"/>
        <v>371</v>
      </c>
      <c r="N95" s="141" t="str">
        <f t="shared" si="16"/>
        <v>37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="70" zoomScaleNormal="70" workbookViewId="0">
      <pane ySplit="2" topLeftCell="A46" activePane="bottomLeft" state="frozen"/>
      <selection pane="bottomLeft" activeCell="G22" sqref="G22:G52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6" t="s">
        <v>792</v>
      </c>
      <c r="B1" s="296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 ht="101.25">
      <c r="A3" s="151">
        <v>61</v>
      </c>
      <c r="B3" s="146" t="str">
        <f t="shared" ref="B3" si="0">IFERROR(VLOOKUP(A3,$R$6:$S$23,2,FALSE),"")</f>
        <v>Donacije</v>
      </c>
      <c r="C3" s="151">
        <v>3111</v>
      </c>
      <c r="D3" s="146" t="str">
        <f>IFERROR(VLOOKUP(C3,$U$5:$W$129,2,FALSE),"")</f>
        <v>Plaće za redovan rad</v>
      </c>
      <c r="E3" s="186" t="s">
        <v>827</v>
      </c>
      <c r="F3" s="146" t="str">
        <f>IFERROR(VLOOKUP(E3,$AA$5:$AB$500,2,FALSE),"")</f>
        <v>NOVI PODPROJEKT</v>
      </c>
      <c r="G3" s="279"/>
      <c r="H3" s="279"/>
      <c r="I3" s="279"/>
      <c r="J3" s="201" t="s">
        <v>2339</v>
      </c>
      <c r="K3" s="200" t="s">
        <v>2340</v>
      </c>
      <c r="L3" s="200" t="s">
        <v>2341</v>
      </c>
      <c r="M3" s="280" t="s">
        <v>2342</v>
      </c>
      <c r="N3" s="280" t="s">
        <v>2343</v>
      </c>
      <c r="P3" s="141" t="str">
        <f>LEFT(C3,3)</f>
        <v>311</v>
      </c>
      <c r="Q3" s="141" t="str">
        <f>LEFT(C3,2)</f>
        <v>31</v>
      </c>
    </row>
    <row r="4" spans="1:28" ht="101.25">
      <c r="A4" s="151">
        <v>61</v>
      </c>
      <c r="B4" s="146" t="str">
        <f t="shared" ref="B4:B67" si="1">IFERROR(VLOOKUP(A4,$R$6:$S$23,2,FALSE),"")</f>
        <v>Donacije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827</v>
      </c>
      <c r="F4" s="146" t="str">
        <f t="shared" ref="F4:F67" si="3">IFERROR(VLOOKUP(E4,$AA$5:$AB$500,2,FALSE),"")</f>
        <v>NOVI PODPROJEKT</v>
      </c>
      <c r="G4" s="279"/>
      <c r="H4" s="279"/>
      <c r="I4" s="279"/>
      <c r="J4" s="201" t="s">
        <v>2339</v>
      </c>
      <c r="K4" s="200" t="s">
        <v>2340</v>
      </c>
      <c r="L4" s="200" t="s">
        <v>2341</v>
      </c>
      <c r="M4" s="280" t="s">
        <v>2342</v>
      </c>
      <c r="N4" s="280" t="s">
        <v>2343</v>
      </c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 ht="101.25">
      <c r="A6" s="151">
        <v>61</v>
      </c>
      <c r="B6" s="146" t="str">
        <f t="shared" si="1"/>
        <v>Donacije</v>
      </c>
      <c r="C6" s="151">
        <v>3111</v>
      </c>
      <c r="D6" s="146" t="str">
        <f t="shared" si="2"/>
        <v>Plaće za redovan rad</v>
      </c>
      <c r="E6" s="186" t="s">
        <v>827</v>
      </c>
      <c r="F6" s="146" t="str">
        <f t="shared" si="3"/>
        <v>NOVI PODPROJEKT</v>
      </c>
      <c r="G6" s="279"/>
      <c r="H6" s="279"/>
      <c r="I6" s="279"/>
      <c r="J6" s="201" t="s">
        <v>2339</v>
      </c>
      <c r="K6" s="200" t="s">
        <v>2340</v>
      </c>
      <c r="L6" s="200" t="s">
        <v>2341</v>
      </c>
      <c r="M6" s="280" t="s">
        <v>2342</v>
      </c>
      <c r="N6" s="280" t="s">
        <v>2343</v>
      </c>
      <c r="P6" s="141" t="str">
        <f t="shared" si="4"/>
        <v>311</v>
      </c>
      <c r="Q6" s="141" t="str">
        <f t="shared" si="5"/>
        <v>31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 ht="101.25">
      <c r="A7" s="151">
        <v>61</v>
      </c>
      <c r="B7" s="146" t="str">
        <f t="shared" si="1"/>
        <v>Donacije</v>
      </c>
      <c r="C7" s="151">
        <v>3132</v>
      </c>
      <c r="D7" s="146" t="str">
        <f t="shared" si="2"/>
        <v>Doprinosi za obvezno zdravstveno osiguranje</v>
      </c>
      <c r="E7" s="186" t="s">
        <v>827</v>
      </c>
      <c r="F7" s="146" t="str">
        <f t="shared" si="3"/>
        <v>NOVI PODPROJEKT</v>
      </c>
      <c r="G7" s="279"/>
      <c r="H7" s="279"/>
      <c r="I7" s="279"/>
      <c r="J7" s="201" t="s">
        <v>2339</v>
      </c>
      <c r="K7" s="200" t="s">
        <v>2340</v>
      </c>
      <c r="L7" s="200" t="s">
        <v>2341</v>
      </c>
      <c r="M7" s="280" t="s">
        <v>2342</v>
      </c>
      <c r="N7" s="280" t="s">
        <v>2344</v>
      </c>
      <c r="P7" s="141" t="str">
        <f t="shared" si="4"/>
        <v>313</v>
      </c>
      <c r="Q7" s="141" t="str">
        <f t="shared" si="5"/>
        <v>31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 ht="213.75" customHeight="1">
      <c r="A9" s="151">
        <v>61</v>
      </c>
      <c r="B9" s="146" t="str">
        <f t="shared" si="1"/>
        <v>Donacije</v>
      </c>
      <c r="C9" s="151">
        <v>3111</v>
      </c>
      <c r="D9" s="146" t="str">
        <f t="shared" si="2"/>
        <v>Plaće za redovan rad</v>
      </c>
      <c r="E9" s="186" t="s">
        <v>827</v>
      </c>
      <c r="F9" s="146" t="str">
        <f t="shared" si="3"/>
        <v>NOVI PODPROJEKT</v>
      </c>
      <c r="G9" s="279">
        <v>49168</v>
      </c>
      <c r="H9" s="279">
        <v>49168</v>
      </c>
      <c r="I9" s="279">
        <v>28096</v>
      </c>
      <c r="J9" s="280" t="s">
        <v>2393</v>
      </c>
      <c r="K9" s="200" t="s">
        <v>2345</v>
      </c>
      <c r="L9" s="200" t="s">
        <v>2346</v>
      </c>
      <c r="M9" s="201" t="s">
        <v>2349</v>
      </c>
      <c r="N9" s="280" t="s">
        <v>2347</v>
      </c>
      <c r="P9" s="141" t="str">
        <f t="shared" si="4"/>
        <v>311</v>
      </c>
      <c r="Q9" s="141" t="str">
        <f t="shared" si="5"/>
        <v>31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 ht="45">
      <c r="A10" s="151">
        <v>61</v>
      </c>
      <c r="B10" s="146" t="str">
        <f t="shared" si="1"/>
        <v>Donacije</v>
      </c>
      <c r="C10" s="151">
        <v>3132</v>
      </c>
      <c r="D10" s="146" t="str">
        <f t="shared" si="2"/>
        <v>Doprinosi za obvezno zdravstveno osiguranje</v>
      </c>
      <c r="E10" s="186" t="s">
        <v>827</v>
      </c>
      <c r="F10" s="146" t="str">
        <f t="shared" si="3"/>
        <v>NOVI PODPROJEKT</v>
      </c>
      <c r="G10" s="279">
        <v>8112</v>
      </c>
      <c r="H10" s="279">
        <v>8112</v>
      </c>
      <c r="I10" s="279">
        <v>4635</v>
      </c>
      <c r="J10" s="283" t="s">
        <v>2393</v>
      </c>
      <c r="K10" s="281" t="s">
        <v>2345</v>
      </c>
      <c r="L10" s="281" t="s">
        <v>2346</v>
      </c>
      <c r="M10" s="282" t="s">
        <v>2349</v>
      </c>
      <c r="N10" s="201" t="s">
        <v>2348</v>
      </c>
      <c r="P10" s="141" t="str">
        <f t="shared" si="4"/>
        <v>313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 ht="45">
      <c r="A11" s="151">
        <v>61</v>
      </c>
      <c r="B11" s="146" t="str">
        <f t="shared" si="1"/>
        <v>Donacije</v>
      </c>
      <c r="C11" s="151">
        <v>3211</v>
      </c>
      <c r="D11" s="146" t="str">
        <f t="shared" si="2"/>
        <v>Službena putovanja</v>
      </c>
      <c r="E11" s="186" t="s">
        <v>827</v>
      </c>
      <c r="F11" s="146" t="str">
        <f t="shared" si="3"/>
        <v>NOVI PODPROJEKT</v>
      </c>
      <c r="G11" s="279">
        <v>20000</v>
      </c>
      <c r="H11" s="279">
        <v>0</v>
      </c>
      <c r="I11" s="279">
        <v>15000</v>
      </c>
      <c r="J11" s="283" t="s">
        <v>2393</v>
      </c>
      <c r="K11" s="281" t="s">
        <v>2345</v>
      </c>
      <c r="L11" s="281" t="s">
        <v>2346</v>
      </c>
      <c r="M11" s="282" t="s">
        <v>2349</v>
      </c>
      <c r="N11" s="201" t="s">
        <v>2348</v>
      </c>
      <c r="P11" s="141" t="str">
        <f t="shared" si="4"/>
        <v>321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 ht="45">
      <c r="A12" s="151">
        <v>61</v>
      </c>
      <c r="B12" s="146" t="str">
        <f t="shared" si="1"/>
        <v>Donacije</v>
      </c>
      <c r="C12" s="151">
        <v>3239</v>
      </c>
      <c r="D12" s="146" t="str">
        <f t="shared" si="2"/>
        <v>Ostale usluge</v>
      </c>
      <c r="E12" s="186" t="s">
        <v>827</v>
      </c>
      <c r="F12" s="146" t="str">
        <f t="shared" si="3"/>
        <v>NOVI PODPROJEKT</v>
      </c>
      <c r="G12" s="279">
        <v>25000</v>
      </c>
      <c r="H12" s="279">
        <v>25000</v>
      </c>
      <c r="I12" s="279">
        <v>25000</v>
      </c>
      <c r="J12" s="283" t="s">
        <v>2393</v>
      </c>
      <c r="K12" s="281" t="s">
        <v>2345</v>
      </c>
      <c r="L12" s="281" t="s">
        <v>2346</v>
      </c>
      <c r="M12" s="282" t="s">
        <v>2349</v>
      </c>
      <c r="N12" s="201" t="s">
        <v>2348</v>
      </c>
      <c r="P12" s="141" t="str">
        <f t="shared" si="4"/>
        <v>323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 ht="45">
      <c r="A13" s="151">
        <v>61</v>
      </c>
      <c r="B13" s="146" t="str">
        <f t="shared" si="1"/>
        <v>Donacije</v>
      </c>
      <c r="C13" s="151">
        <v>3222</v>
      </c>
      <c r="D13" s="146" t="str">
        <f t="shared" si="2"/>
        <v>Materijal i sirovine</v>
      </c>
      <c r="E13" s="186" t="s">
        <v>827</v>
      </c>
      <c r="F13" s="146" t="str">
        <f t="shared" si="3"/>
        <v>NOVI PODPROJEKT</v>
      </c>
      <c r="G13" s="279">
        <v>5000</v>
      </c>
      <c r="H13" s="279">
        <v>5000</v>
      </c>
      <c r="I13" s="279">
        <v>5000</v>
      </c>
      <c r="J13" s="283" t="s">
        <v>2393</v>
      </c>
      <c r="K13" s="281" t="s">
        <v>2345</v>
      </c>
      <c r="L13" s="281" t="s">
        <v>2346</v>
      </c>
      <c r="M13" s="282" t="s">
        <v>2349</v>
      </c>
      <c r="N13" s="201" t="s">
        <v>2348</v>
      </c>
      <c r="P13" s="141" t="str">
        <f t="shared" si="4"/>
        <v>322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 ht="45">
      <c r="A14" s="151">
        <v>61</v>
      </c>
      <c r="B14" s="146" t="str">
        <f t="shared" si="1"/>
        <v>Donacije</v>
      </c>
      <c r="C14" s="151">
        <v>3221</v>
      </c>
      <c r="D14" s="146" t="str">
        <f t="shared" si="2"/>
        <v>Uredski materijal i ostali materijalni rashodi</v>
      </c>
      <c r="E14" s="186" t="s">
        <v>827</v>
      </c>
      <c r="F14" s="146" t="str">
        <f t="shared" si="3"/>
        <v>NOVI PODPROJEKT</v>
      </c>
      <c r="G14" s="279">
        <v>11000</v>
      </c>
      <c r="H14" s="279">
        <v>11000</v>
      </c>
      <c r="I14" s="279">
        <v>11000</v>
      </c>
      <c r="J14" s="283" t="s">
        <v>2393</v>
      </c>
      <c r="K14" s="281" t="s">
        <v>2345</v>
      </c>
      <c r="L14" s="281" t="s">
        <v>2346</v>
      </c>
      <c r="M14" s="282" t="s">
        <v>2349</v>
      </c>
      <c r="N14" s="201" t="s">
        <v>2348</v>
      </c>
      <c r="P14" s="141" t="str">
        <f t="shared" si="4"/>
        <v>322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 ht="45">
      <c r="A15" s="151">
        <v>61</v>
      </c>
      <c r="B15" s="146" t="str">
        <f t="shared" si="1"/>
        <v>Donacije</v>
      </c>
      <c r="C15" s="151">
        <v>4224</v>
      </c>
      <c r="D15" s="146" t="str">
        <f t="shared" si="2"/>
        <v>Medicinska i laboratorijska oprema</v>
      </c>
      <c r="E15" s="186" t="s">
        <v>827</v>
      </c>
      <c r="F15" s="146" t="str">
        <f t="shared" si="3"/>
        <v>NOVI PODPROJEKT</v>
      </c>
      <c r="G15" s="279">
        <v>13200</v>
      </c>
      <c r="H15" s="279">
        <v>0</v>
      </c>
      <c r="I15" s="279">
        <v>6250</v>
      </c>
      <c r="J15" s="283" t="s">
        <v>2393</v>
      </c>
      <c r="K15" s="281" t="s">
        <v>2345</v>
      </c>
      <c r="L15" s="281" t="s">
        <v>2346</v>
      </c>
      <c r="M15" s="282" t="s">
        <v>2349</v>
      </c>
      <c r="N15" s="201" t="s">
        <v>2348</v>
      </c>
      <c r="P15" s="141" t="str">
        <f t="shared" si="4"/>
        <v>422</v>
      </c>
      <c r="Q15" s="141" t="str">
        <f t="shared" si="5"/>
        <v>42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 ht="101.25">
      <c r="A17" s="151">
        <v>52</v>
      </c>
      <c r="B17" s="146" t="str">
        <f t="shared" si="1"/>
        <v>Ostale pomoći</v>
      </c>
      <c r="C17" s="151">
        <v>3211</v>
      </c>
      <c r="D17" s="146" t="str">
        <f t="shared" si="2"/>
        <v>Službena putovanja</v>
      </c>
      <c r="E17" s="186" t="s">
        <v>827</v>
      </c>
      <c r="F17" s="146" t="str">
        <f t="shared" si="3"/>
        <v>NOVI PODPROJEKT</v>
      </c>
      <c r="G17" s="185">
        <v>0</v>
      </c>
      <c r="H17" s="185">
        <v>0</v>
      </c>
      <c r="I17" s="185">
        <v>0</v>
      </c>
      <c r="J17" s="280" t="s">
        <v>2350</v>
      </c>
      <c r="K17" s="200">
        <v>42916</v>
      </c>
      <c r="L17" s="200">
        <v>44742</v>
      </c>
      <c r="M17" s="280" t="s">
        <v>2351</v>
      </c>
      <c r="N17" s="280" t="s">
        <v>2381</v>
      </c>
      <c r="P17" s="141" t="str">
        <f t="shared" si="4"/>
        <v>321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 ht="45">
      <c r="A18" s="151">
        <v>52</v>
      </c>
      <c r="B18" s="146" t="str">
        <f t="shared" si="1"/>
        <v>Ostale pomoći</v>
      </c>
      <c r="C18" s="151">
        <v>3213</v>
      </c>
      <c r="D18" s="146" t="str">
        <f t="shared" si="2"/>
        <v>Stručno usavršavanje zaposlenika</v>
      </c>
      <c r="E18" s="186" t="s">
        <v>827</v>
      </c>
      <c r="F18" s="146" t="str">
        <f t="shared" si="3"/>
        <v>NOVI PODPROJEKT</v>
      </c>
      <c r="G18" s="185">
        <v>0</v>
      </c>
      <c r="H18" s="185">
        <v>0</v>
      </c>
      <c r="I18" s="185"/>
      <c r="J18" s="280" t="s">
        <v>2350</v>
      </c>
      <c r="K18" s="200">
        <v>42916</v>
      </c>
      <c r="L18" s="200">
        <v>44742</v>
      </c>
      <c r="M18" s="280" t="s">
        <v>2351</v>
      </c>
      <c r="N18" s="201"/>
      <c r="P18" s="141" t="str">
        <f t="shared" si="4"/>
        <v>321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 ht="45">
      <c r="A19" s="151">
        <v>52</v>
      </c>
      <c r="B19" s="146" t="str">
        <f t="shared" si="1"/>
        <v>Ostale pomoći</v>
      </c>
      <c r="C19" s="151">
        <v>3111</v>
      </c>
      <c r="D19" s="146" t="str">
        <f t="shared" si="2"/>
        <v>Plaće za redovan rad</v>
      </c>
      <c r="E19" s="186" t="s">
        <v>827</v>
      </c>
      <c r="F19" s="146" t="str">
        <f t="shared" si="3"/>
        <v>NOVI PODPROJEKT</v>
      </c>
      <c r="G19" s="185">
        <v>0</v>
      </c>
      <c r="H19" s="185"/>
      <c r="I19" s="185"/>
      <c r="J19" s="280" t="s">
        <v>2350</v>
      </c>
      <c r="K19" s="200">
        <v>42916</v>
      </c>
      <c r="L19" s="200">
        <v>44742</v>
      </c>
      <c r="M19" s="280" t="s">
        <v>2351</v>
      </c>
      <c r="N19" s="201"/>
      <c r="P19" s="141" t="str">
        <f t="shared" si="4"/>
        <v>311</v>
      </c>
      <c r="Q19" s="141" t="str">
        <f t="shared" si="5"/>
        <v>31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 ht="45">
      <c r="A20" s="151">
        <v>52</v>
      </c>
      <c r="B20" s="146" t="str">
        <f t="shared" si="1"/>
        <v>Ostale pomoći</v>
      </c>
      <c r="C20" s="151">
        <v>3132</v>
      </c>
      <c r="D20" s="146" t="str">
        <f t="shared" si="2"/>
        <v>Doprinosi za obvezno zdravstveno osiguranje</v>
      </c>
      <c r="E20" s="186" t="s">
        <v>827</v>
      </c>
      <c r="F20" s="146" t="str">
        <f t="shared" si="3"/>
        <v>NOVI PODPROJEKT</v>
      </c>
      <c r="G20" s="185">
        <v>0</v>
      </c>
      <c r="H20" s="185"/>
      <c r="I20" s="185"/>
      <c r="J20" s="280" t="s">
        <v>2350</v>
      </c>
      <c r="K20" s="200">
        <v>42916</v>
      </c>
      <c r="L20" s="200">
        <v>44742</v>
      </c>
      <c r="M20" s="280" t="s">
        <v>2351</v>
      </c>
      <c r="N20" s="201"/>
      <c r="P20" s="141" t="str">
        <f t="shared" si="4"/>
        <v>313</v>
      </c>
      <c r="Q20" s="141" t="str">
        <f t="shared" si="5"/>
        <v>31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 ht="146.25">
      <c r="A22" s="151">
        <v>52</v>
      </c>
      <c r="B22" s="146" t="str">
        <f t="shared" si="1"/>
        <v>Ostale pomoći</v>
      </c>
      <c r="C22" s="151">
        <v>3237</v>
      </c>
      <c r="D22" s="146" t="str">
        <f t="shared" si="2"/>
        <v>Intelektualne i osobne usluge</v>
      </c>
      <c r="E22" s="186" t="s">
        <v>827</v>
      </c>
      <c r="F22" s="146" t="str">
        <f t="shared" si="3"/>
        <v>NOVI PODPROJEKT</v>
      </c>
      <c r="G22" s="185">
        <v>15000</v>
      </c>
      <c r="H22" s="185">
        <v>0</v>
      </c>
      <c r="I22" s="185">
        <v>0</v>
      </c>
      <c r="J22" s="280" t="s">
        <v>2394</v>
      </c>
      <c r="K22" s="200" t="s">
        <v>2352</v>
      </c>
      <c r="L22" s="200">
        <v>44347</v>
      </c>
      <c r="M22" s="280" t="s">
        <v>2383</v>
      </c>
      <c r="N22" s="280" t="s">
        <v>2382</v>
      </c>
      <c r="P22" s="141" t="str">
        <f t="shared" si="4"/>
        <v>323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 ht="56.25">
      <c r="A23" s="151">
        <v>52</v>
      </c>
      <c r="B23" s="146" t="str">
        <f t="shared" si="1"/>
        <v>Ostale pomoći</v>
      </c>
      <c r="C23" s="151">
        <v>3211</v>
      </c>
      <c r="D23" s="146" t="str">
        <f t="shared" si="2"/>
        <v>Službena putovanja</v>
      </c>
      <c r="E23" s="186" t="s">
        <v>827</v>
      </c>
      <c r="F23" s="146" t="str">
        <f t="shared" si="3"/>
        <v>NOVI PODPROJEKT</v>
      </c>
      <c r="G23" s="185">
        <v>41250</v>
      </c>
      <c r="H23" s="185">
        <v>0</v>
      </c>
      <c r="I23" s="185">
        <v>0</v>
      </c>
      <c r="J23" s="283" t="s">
        <v>2394</v>
      </c>
      <c r="K23" s="200" t="s">
        <v>2352</v>
      </c>
      <c r="L23" s="200">
        <v>44347</v>
      </c>
      <c r="M23" s="280" t="s">
        <v>2353</v>
      </c>
      <c r="N23" s="201"/>
      <c r="P23" s="141" t="str">
        <f t="shared" si="4"/>
        <v>321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 ht="45">
      <c r="A25" s="151">
        <v>52</v>
      </c>
      <c r="B25" s="146" t="str">
        <f t="shared" si="1"/>
        <v>Ostale pomoći</v>
      </c>
      <c r="C25" s="151">
        <v>3211</v>
      </c>
      <c r="D25" s="146" t="str">
        <f t="shared" si="2"/>
        <v>Službena putovanja</v>
      </c>
      <c r="E25" s="186" t="s">
        <v>836</v>
      </c>
      <c r="F25" s="146" t="str">
        <f t="shared" si="3"/>
        <v>ERASMUS+ projekt individualne mobilnosti nastavnog i nenastavnog osoblja kroz boravak na inozemnim ustanovama</v>
      </c>
      <c r="G25" s="185">
        <v>200000</v>
      </c>
      <c r="H25" s="185">
        <v>200000</v>
      </c>
      <c r="I25" s="185">
        <v>200000</v>
      </c>
      <c r="J25" s="280" t="s">
        <v>2354</v>
      </c>
      <c r="K25" s="200"/>
      <c r="L25" s="200"/>
      <c r="M25" s="280" t="s">
        <v>2355</v>
      </c>
      <c r="N25" s="280" t="s">
        <v>2356</v>
      </c>
      <c r="P25" s="141" t="str">
        <f t="shared" si="4"/>
        <v>321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80"/>
      <c r="N27" s="280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 ht="112.5">
      <c r="A28" s="151">
        <v>52</v>
      </c>
      <c r="B28" s="146" t="str">
        <f t="shared" si="1"/>
        <v>Ostale pomoći</v>
      </c>
      <c r="C28" s="151">
        <v>3111</v>
      </c>
      <c r="D28" s="146" t="str">
        <f t="shared" si="2"/>
        <v>Plaće za redovan rad</v>
      </c>
      <c r="E28" s="186" t="s">
        <v>827</v>
      </c>
      <c r="F28" s="146" t="str">
        <f t="shared" si="3"/>
        <v>NOVI PODPROJEKT</v>
      </c>
      <c r="G28" s="201">
        <v>177476</v>
      </c>
      <c r="H28" s="201">
        <v>177476</v>
      </c>
      <c r="I28" s="185"/>
      <c r="J28" s="201" t="s">
        <v>2395</v>
      </c>
      <c r="K28" s="200" t="s">
        <v>2357</v>
      </c>
      <c r="L28" s="200" t="s">
        <v>2358</v>
      </c>
      <c r="M28" s="280" t="s">
        <v>2359</v>
      </c>
      <c r="N28" s="280" t="s">
        <v>2360</v>
      </c>
      <c r="P28" s="141" t="str">
        <f t="shared" si="4"/>
        <v>311</v>
      </c>
      <c r="Q28" s="141" t="str">
        <f t="shared" si="5"/>
        <v>31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 ht="33.75">
      <c r="A29" s="151">
        <v>52</v>
      </c>
      <c r="B29" s="146" t="str">
        <f t="shared" si="1"/>
        <v>Ostale pomoći</v>
      </c>
      <c r="C29" s="151">
        <v>3211</v>
      </c>
      <c r="D29" s="146" t="str">
        <f t="shared" si="2"/>
        <v>Službena putovanja</v>
      </c>
      <c r="E29" s="186" t="s">
        <v>827</v>
      </c>
      <c r="F29" s="146" t="str">
        <f t="shared" si="3"/>
        <v>NOVI PODPROJEKT</v>
      </c>
      <c r="G29" s="185">
        <v>69488</v>
      </c>
      <c r="H29" s="185"/>
      <c r="I29" s="185">
        <v>10980</v>
      </c>
      <c r="J29" s="282" t="s">
        <v>2395</v>
      </c>
      <c r="K29" s="200" t="s">
        <v>2357</v>
      </c>
      <c r="L29" s="200" t="s">
        <v>2358</v>
      </c>
      <c r="M29" s="280" t="s">
        <v>2359</v>
      </c>
      <c r="N29" s="201"/>
      <c r="P29" s="141" t="str">
        <f t="shared" si="4"/>
        <v>321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 ht="33.75">
      <c r="A30" s="151">
        <v>52</v>
      </c>
      <c r="B30" s="146" t="str">
        <f t="shared" si="1"/>
        <v>Ostale pomoći</v>
      </c>
      <c r="C30" s="151">
        <v>3237</v>
      </c>
      <c r="D30" s="146" t="str">
        <f t="shared" si="2"/>
        <v>Intelektualne i osobne usluge</v>
      </c>
      <c r="E30" s="186" t="s">
        <v>827</v>
      </c>
      <c r="F30" s="146" t="str">
        <f t="shared" si="3"/>
        <v>NOVI PODPROJEKT</v>
      </c>
      <c r="G30" s="201">
        <v>171435</v>
      </c>
      <c r="H30" s="185">
        <v>128700</v>
      </c>
      <c r="I30" s="185">
        <v>32171</v>
      </c>
      <c r="J30" s="282" t="s">
        <v>2395</v>
      </c>
      <c r="K30" s="200" t="s">
        <v>2357</v>
      </c>
      <c r="L30" s="200" t="s">
        <v>2358</v>
      </c>
      <c r="M30" s="280" t="s">
        <v>2359</v>
      </c>
      <c r="N30" s="201"/>
      <c r="P30" s="141" t="str">
        <f t="shared" si="4"/>
        <v>323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 ht="33.75">
      <c r="A31" s="151">
        <v>52</v>
      </c>
      <c r="B31" s="146" t="str">
        <f t="shared" si="1"/>
        <v>Ostale pomoći</v>
      </c>
      <c r="C31" s="151">
        <v>3239</v>
      </c>
      <c r="D31" s="146" t="str">
        <f t="shared" si="2"/>
        <v>Ostale usluge</v>
      </c>
      <c r="E31" s="186" t="s">
        <v>827</v>
      </c>
      <c r="F31" s="146" t="str">
        <f t="shared" si="3"/>
        <v>NOVI PODPROJEKT</v>
      </c>
      <c r="G31" s="185">
        <v>14000</v>
      </c>
      <c r="H31" s="185">
        <v>14000</v>
      </c>
      <c r="I31" s="185"/>
      <c r="J31" s="282" t="s">
        <v>2395</v>
      </c>
      <c r="K31" s="200" t="s">
        <v>2357</v>
      </c>
      <c r="L31" s="200" t="s">
        <v>2358</v>
      </c>
      <c r="M31" s="280" t="s">
        <v>2359</v>
      </c>
      <c r="N31" s="201"/>
      <c r="P31" s="141" t="str">
        <f t="shared" si="4"/>
        <v>323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 ht="33.75">
      <c r="A32" s="151">
        <v>52</v>
      </c>
      <c r="B32" s="146" t="str">
        <f t="shared" si="1"/>
        <v>Ostale pomoći</v>
      </c>
      <c r="C32" s="151">
        <v>4224</v>
      </c>
      <c r="D32" s="146" t="str">
        <f t="shared" si="2"/>
        <v>Medicinska i laboratorijska oprema</v>
      </c>
      <c r="E32" s="186" t="s">
        <v>827</v>
      </c>
      <c r="F32" s="146" t="str">
        <f t="shared" si="3"/>
        <v>NOVI PODPROJEKT</v>
      </c>
      <c r="G32" s="185">
        <v>1107250</v>
      </c>
      <c r="H32" s="185"/>
      <c r="I32" s="185"/>
      <c r="J32" s="282" t="s">
        <v>2395</v>
      </c>
      <c r="K32" s="200" t="s">
        <v>2357</v>
      </c>
      <c r="L32" s="200" t="s">
        <v>2358</v>
      </c>
      <c r="M32" s="280" t="s">
        <v>2359</v>
      </c>
      <c r="N32" s="201"/>
      <c r="P32" s="141" t="str">
        <f t="shared" si="4"/>
        <v>422</v>
      </c>
      <c r="Q32" s="141" t="str">
        <f t="shared" si="5"/>
        <v>42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 ht="33.75">
      <c r="A33" s="151">
        <v>52</v>
      </c>
      <c r="B33" s="146" t="str">
        <f t="shared" si="1"/>
        <v>Ostale pomoći</v>
      </c>
      <c r="C33" s="151">
        <v>3132</v>
      </c>
      <c r="D33" s="146" t="str">
        <f t="shared" si="2"/>
        <v>Doprinosi za obvezno zdravstveno osiguranje</v>
      </c>
      <c r="E33" s="186" t="s">
        <v>827</v>
      </c>
      <c r="F33" s="146" t="str">
        <f t="shared" si="3"/>
        <v>NOVI PODPROJEKT</v>
      </c>
      <c r="G33" s="185">
        <v>29284</v>
      </c>
      <c r="H33" s="185">
        <v>29284</v>
      </c>
      <c r="I33" s="185"/>
      <c r="J33" s="282" t="s">
        <v>2395</v>
      </c>
      <c r="K33" s="281" t="s">
        <v>2357</v>
      </c>
      <c r="L33" s="281" t="s">
        <v>2358</v>
      </c>
      <c r="M33" s="283" t="s">
        <v>2359</v>
      </c>
      <c r="N33" s="201"/>
      <c r="P33" s="141" t="str">
        <f t="shared" si="4"/>
        <v>313</v>
      </c>
      <c r="Q33" s="141" t="str">
        <f t="shared" si="5"/>
        <v>31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52</v>
      </c>
      <c r="B34" s="146" t="str">
        <f t="shared" si="1"/>
        <v>Ostale pomoći</v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80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 ht="112.5">
      <c r="A35" s="151">
        <v>52</v>
      </c>
      <c r="B35" s="146" t="str">
        <f t="shared" si="1"/>
        <v>Ostale pomoći</v>
      </c>
      <c r="C35" s="151">
        <v>3239</v>
      </c>
      <c r="D35" s="146" t="str">
        <f t="shared" si="2"/>
        <v>Ostale usluge</v>
      </c>
      <c r="E35" s="186" t="s">
        <v>827</v>
      </c>
      <c r="F35" s="146" t="str">
        <f t="shared" si="3"/>
        <v>NOVI PODPROJEKT</v>
      </c>
      <c r="G35" s="185">
        <v>10000</v>
      </c>
      <c r="H35" s="185">
        <v>15456</v>
      </c>
      <c r="I35" s="185"/>
      <c r="J35" s="201" t="s">
        <v>2396</v>
      </c>
      <c r="K35" s="200" t="s">
        <v>2361</v>
      </c>
      <c r="L35" s="200" t="s">
        <v>2362</v>
      </c>
      <c r="M35" s="280" t="s">
        <v>2363</v>
      </c>
      <c r="N35" s="280" t="s">
        <v>2364</v>
      </c>
      <c r="P35" s="141" t="str">
        <f t="shared" si="4"/>
        <v>323</v>
      </c>
      <c r="Q35" s="141" t="str">
        <f t="shared" si="5"/>
        <v>32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 ht="45">
      <c r="A37" s="151">
        <v>52</v>
      </c>
      <c r="B37" s="146" t="str">
        <f t="shared" si="1"/>
        <v>Ostale pomoći</v>
      </c>
      <c r="C37" s="151">
        <v>4224</v>
      </c>
      <c r="D37" s="146" t="str">
        <f t="shared" si="2"/>
        <v>Medicinska i laboratorijska oprema</v>
      </c>
      <c r="E37" s="186" t="s">
        <v>827</v>
      </c>
      <c r="F37" s="146" t="str">
        <f t="shared" si="3"/>
        <v>NOVI PODPROJEKT</v>
      </c>
      <c r="G37" s="185">
        <v>486415</v>
      </c>
      <c r="H37" s="185"/>
      <c r="I37" s="185"/>
      <c r="J37" s="201" t="s">
        <v>2397</v>
      </c>
      <c r="K37" s="200" t="s">
        <v>2365</v>
      </c>
      <c r="L37" s="200" t="s">
        <v>2366</v>
      </c>
      <c r="M37" s="280" t="s">
        <v>2384</v>
      </c>
      <c r="N37" s="280" t="s">
        <v>2367</v>
      </c>
      <c r="P37" s="141" t="str">
        <f t="shared" si="4"/>
        <v>422</v>
      </c>
      <c r="Q37" s="141" t="str">
        <f t="shared" si="5"/>
        <v>42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52</v>
      </c>
      <c r="B38" s="146" t="str">
        <f t="shared" si="1"/>
        <v>Ostale pomoći</v>
      </c>
      <c r="C38" s="151">
        <v>3227</v>
      </c>
      <c r="D38" s="146" t="str">
        <f t="shared" si="2"/>
        <v>Službena, radna i zaštitna odjeća i obuća</v>
      </c>
      <c r="E38" s="186" t="s">
        <v>827</v>
      </c>
      <c r="F38" s="146" t="str">
        <f t="shared" si="3"/>
        <v>NOVI PODPROJEKT</v>
      </c>
      <c r="G38" s="185">
        <v>83461</v>
      </c>
      <c r="H38" s="185">
        <v>166925</v>
      </c>
      <c r="I38" s="185"/>
      <c r="J38" s="201"/>
      <c r="K38" s="200"/>
      <c r="L38" s="200"/>
      <c r="M38" s="201"/>
      <c r="N38" s="201"/>
      <c r="P38" s="141" t="str">
        <f t="shared" si="4"/>
        <v>322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52</v>
      </c>
      <c r="B39" s="146" t="str">
        <f t="shared" si="1"/>
        <v>Ostale pomoći</v>
      </c>
      <c r="C39" s="151">
        <v>3211</v>
      </c>
      <c r="D39" s="146" t="str">
        <f t="shared" si="2"/>
        <v>Službena putovanja</v>
      </c>
      <c r="E39" s="186" t="s">
        <v>827</v>
      </c>
      <c r="F39" s="146" t="str">
        <f t="shared" si="3"/>
        <v>NOVI PODPROJEKT</v>
      </c>
      <c r="G39" s="185">
        <v>27400</v>
      </c>
      <c r="H39" s="185">
        <v>44380</v>
      </c>
      <c r="I39" s="185">
        <v>10385</v>
      </c>
      <c r="J39" s="201"/>
      <c r="K39" s="200"/>
      <c r="L39" s="200"/>
      <c r="M39" s="201"/>
      <c r="N39" s="201"/>
      <c r="P39" s="141" t="str">
        <f t="shared" si="4"/>
        <v>321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52</v>
      </c>
      <c r="B40" s="146" t="str">
        <f t="shared" si="1"/>
        <v>Ostale pomoći</v>
      </c>
      <c r="C40" s="151">
        <v>3222</v>
      </c>
      <c r="D40" s="146" t="str">
        <f t="shared" si="2"/>
        <v>Materijal i sirovine</v>
      </c>
      <c r="E40" s="186" t="s">
        <v>827</v>
      </c>
      <c r="F40" s="146" t="str">
        <f t="shared" si="3"/>
        <v>NOVI PODPROJEKT</v>
      </c>
      <c r="G40" s="185">
        <v>13300</v>
      </c>
      <c r="H40" s="185">
        <v>26600</v>
      </c>
      <c r="I40" s="185"/>
      <c r="J40" s="201"/>
      <c r="K40" s="200"/>
      <c r="L40" s="200"/>
      <c r="M40" s="201"/>
      <c r="N40" s="201"/>
      <c r="P40" s="141" t="str">
        <f t="shared" si="4"/>
        <v>322</v>
      </c>
      <c r="Q40" s="141" t="str">
        <f t="shared" si="5"/>
        <v>32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 ht="101.25">
      <c r="A42" s="151">
        <v>52</v>
      </c>
      <c r="B42" s="146" t="str">
        <f t="shared" si="1"/>
        <v>Ostale pomoći</v>
      </c>
      <c r="C42" s="151">
        <v>3211</v>
      </c>
      <c r="D42" s="146" t="str">
        <f t="shared" si="2"/>
        <v>Službena putovanja</v>
      </c>
      <c r="E42" s="186" t="s">
        <v>827</v>
      </c>
      <c r="F42" s="146" t="str">
        <f t="shared" si="3"/>
        <v>NOVI PODPROJEKT</v>
      </c>
      <c r="G42" s="185">
        <v>20000</v>
      </c>
      <c r="H42" s="185">
        <v>20000</v>
      </c>
      <c r="I42" s="185"/>
      <c r="J42" s="201" t="s">
        <v>2398</v>
      </c>
      <c r="K42" s="200" t="s">
        <v>2368</v>
      </c>
      <c r="L42" s="200" t="s">
        <v>2369</v>
      </c>
      <c r="M42" s="280" t="s">
        <v>2370</v>
      </c>
      <c r="N42" s="280" t="s">
        <v>2371</v>
      </c>
      <c r="P42" s="141" t="str">
        <f t="shared" si="4"/>
        <v>321</v>
      </c>
      <c r="Q42" s="141" t="str">
        <f t="shared" si="5"/>
        <v>32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52</v>
      </c>
      <c r="B43" s="146" t="str">
        <f t="shared" si="1"/>
        <v>Ostale pomoći</v>
      </c>
      <c r="C43" s="151">
        <v>3222</v>
      </c>
      <c r="D43" s="146" t="str">
        <f t="shared" si="2"/>
        <v>Materijal i sirovine</v>
      </c>
      <c r="E43" s="186" t="s">
        <v>827</v>
      </c>
      <c r="F43" s="146" t="str">
        <f t="shared" si="3"/>
        <v>NOVI PODPROJEKT</v>
      </c>
      <c r="G43" s="185">
        <v>30000</v>
      </c>
      <c r="H43" s="185">
        <v>30000</v>
      </c>
      <c r="I43" s="185"/>
      <c r="J43" s="201"/>
      <c r="K43" s="200"/>
      <c r="L43" s="200"/>
      <c r="M43" s="201"/>
      <c r="N43" s="201"/>
      <c r="P43" s="141" t="str">
        <f t="shared" si="4"/>
        <v>322</v>
      </c>
      <c r="Q43" s="141" t="str">
        <f t="shared" si="5"/>
        <v>32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52</v>
      </c>
      <c r="B44" s="146" t="str">
        <f t="shared" si="1"/>
        <v>Ostale pomoći</v>
      </c>
      <c r="C44" s="151">
        <v>4224</v>
      </c>
      <c r="D44" s="146" t="str">
        <f t="shared" si="2"/>
        <v>Medicinska i laboratorijska oprema</v>
      </c>
      <c r="E44" s="186" t="s">
        <v>827</v>
      </c>
      <c r="F44" s="146" t="str">
        <f t="shared" si="3"/>
        <v>NOVI PODPROJEKT</v>
      </c>
      <c r="G44" s="185">
        <v>23000</v>
      </c>
      <c r="H44" s="185">
        <v>23000</v>
      </c>
      <c r="I44" s="185"/>
      <c r="J44" s="201"/>
      <c r="K44" s="200"/>
      <c r="L44" s="200"/>
      <c r="M44" s="201"/>
      <c r="N44" s="201"/>
      <c r="P44" s="141" t="str">
        <f t="shared" si="4"/>
        <v>422</v>
      </c>
      <c r="Q44" s="141" t="str">
        <f t="shared" si="5"/>
        <v>42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 ht="112.5">
      <c r="A46" s="151">
        <v>52</v>
      </c>
      <c r="B46" s="146" t="str">
        <f t="shared" si="1"/>
        <v>Ostale pomoći</v>
      </c>
      <c r="C46" s="151">
        <v>3111</v>
      </c>
      <c r="D46" s="146" t="str">
        <f t="shared" si="2"/>
        <v>Plaće za redovan rad</v>
      </c>
      <c r="E46" s="186" t="s">
        <v>827</v>
      </c>
      <c r="F46" s="146" t="str">
        <f t="shared" si="3"/>
        <v>NOVI PODPROJEKT</v>
      </c>
      <c r="G46" s="185">
        <v>28970</v>
      </c>
      <c r="H46" s="185"/>
      <c r="I46" s="185"/>
      <c r="J46" s="201" t="s">
        <v>2372</v>
      </c>
      <c r="K46" s="200" t="s">
        <v>2373</v>
      </c>
      <c r="L46" s="200">
        <v>44469</v>
      </c>
      <c r="M46" s="201" t="s">
        <v>2374</v>
      </c>
      <c r="N46" s="280" t="s">
        <v>2375</v>
      </c>
      <c r="P46" s="141" t="str">
        <f t="shared" si="4"/>
        <v>311</v>
      </c>
      <c r="Q46" s="141" t="str">
        <f t="shared" si="5"/>
        <v>31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52</v>
      </c>
      <c r="B47" s="146" t="str">
        <f t="shared" si="1"/>
        <v>Ostale pomoći</v>
      </c>
      <c r="C47" s="151">
        <v>3213</v>
      </c>
      <c r="D47" s="146" t="str">
        <f t="shared" si="2"/>
        <v>Stručno usavršavanje zaposlenika</v>
      </c>
      <c r="E47" s="186" t="s">
        <v>827</v>
      </c>
      <c r="F47" s="146" t="str">
        <f t="shared" si="3"/>
        <v>NOVI PODPROJEKT</v>
      </c>
      <c r="G47" s="185">
        <v>29600</v>
      </c>
      <c r="H47" s="185"/>
      <c r="I47" s="185"/>
      <c r="J47" s="201" t="s">
        <v>2372</v>
      </c>
      <c r="K47" s="200" t="s">
        <v>2373</v>
      </c>
      <c r="L47" s="200">
        <v>44469</v>
      </c>
      <c r="M47" s="201" t="s">
        <v>2374</v>
      </c>
      <c r="N47" s="201"/>
      <c r="P47" s="141" t="str">
        <f t="shared" si="4"/>
        <v>321</v>
      </c>
      <c r="Q47" s="141" t="str">
        <f t="shared" si="5"/>
        <v>32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52</v>
      </c>
      <c r="B48" s="146" t="str">
        <f t="shared" si="1"/>
        <v>Ostale pomoći</v>
      </c>
      <c r="C48" s="151">
        <v>3211</v>
      </c>
      <c r="D48" s="146" t="str">
        <f t="shared" si="2"/>
        <v>Službena putovanja</v>
      </c>
      <c r="E48" s="186" t="s">
        <v>827</v>
      </c>
      <c r="F48" s="146" t="str">
        <f t="shared" si="3"/>
        <v>NOVI PODPROJEKT</v>
      </c>
      <c r="G48" s="185">
        <v>11250</v>
      </c>
      <c r="H48" s="185"/>
      <c r="I48" s="185"/>
      <c r="J48" s="201" t="s">
        <v>2372</v>
      </c>
      <c r="K48" s="200" t="s">
        <v>2373</v>
      </c>
      <c r="L48" s="200">
        <v>44469</v>
      </c>
      <c r="M48" s="201" t="s">
        <v>2374</v>
      </c>
      <c r="N48" s="201"/>
      <c r="P48" s="141" t="str">
        <f t="shared" si="4"/>
        <v>321</v>
      </c>
      <c r="Q48" s="141" t="str">
        <f t="shared" si="5"/>
        <v>32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84"/>
      <c r="K49" s="284"/>
      <c r="L49" s="284"/>
      <c r="M49" s="284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 ht="157.5">
      <c r="A51" s="151">
        <v>52</v>
      </c>
      <c r="B51" s="146" t="str">
        <f t="shared" si="1"/>
        <v>Ostale pomoći</v>
      </c>
      <c r="C51" s="151">
        <v>3211</v>
      </c>
      <c r="D51" s="146" t="str">
        <f t="shared" si="2"/>
        <v>Službena putovanja</v>
      </c>
      <c r="E51" s="186" t="s">
        <v>827</v>
      </c>
      <c r="F51" s="146" t="str">
        <f t="shared" si="3"/>
        <v>NOVI PODPROJEKT</v>
      </c>
      <c r="G51" s="185">
        <v>27000</v>
      </c>
      <c r="H51" s="185">
        <v>27000</v>
      </c>
      <c r="I51" s="185"/>
      <c r="J51" s="282" t="s">
        <v>2399</v>
      </c>
      <c r="K51" s="281" t="s">
        <v>2385</v>
      </c>
      <c r="L51" s="282" t="s">
        <v>2388</v>
      </c>
      <c r="M51" s="282" t="s">
        <v>2386</v>
      </c>
      <c r="N51" s="283" t="s">
        <v>2387</v>
      </c>
      <c r="P51" s="141" t="str">
        <f t="shared" si="4"/>
        <v>321</v>
      </c>
      <c r="Q51" s="141" t="str">
        <f t="shared" si="5"/>
        <v>32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52</v>
      </c>
      <c r="B52" s="146" t="str">
        <f t="shared" si="1"/>
        <v>Ostale pomoći</v>
      </c>
      <c r="C52" s="151">
        <v>3213</v>
      </c>
      <c r="D52" s="146" t="str">
        <f t="shared" si="2"/>
        <v>Stručno usavršavanje zaposlenika</v>
      </c>
      <c r="E52" s="186" t="s">
        <v>827</v>
      </c>
      <c r="F52" s="146" t="str">
        <f t="shared" si="3"/>
        <v>NOVI PODPROJEKT</v>
      </c>
      <c r="G52" s="185">
        <v>10000</v>
      </c>
      <c r="H52" s="185">
        <v>10000</v>
      </c>
      <c r="I52" s="185"/>
      <c r="J52" s="201"/>
      <c r="K52" s="200"/>
      <c r="L52" s="200"/>
      <c r="M52" s="201"/>
      <c r="N52" s="201"/>
      <c r="P52" s="141" t="str">
        <f t="shared" si="4"/>
        <v>321</v>
      </c>
      <c r="Q52" s="141" t="str">
        <f t="shared" si="5"/>
        <v>32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 ht="123.75">
      <c r="A54" s="151">
        <v>561</v>
      </c>
      <c r="B54" s="146" t="str">
        <f t="shared" si="1"/>
        <v>Europski socijalni fond (ESF)</v>
      </c>
      <c r="C54" s="151">
        <v>3111</v>
      </c>
      <c r="D54" s="146" t="str">
        <f t="shared" si="2"/>
        <v>Plaće za redovan rad</v>
      </c>
      <c r="E54" s="186" t="s">
        <v>1114</v>
      </c>
      <c r="F54" s="146" t="str">
        <f t="shared" si="3"/>
        <v>Internacionalizacija visokog obrazovanja - razvoj studijskih programa na stranim jezicima u prioritetnim područjima i združenih studija</v>
      </c>
      <c r="G54" s="185">
        <v>360862</v>
      </c>
      <c r="H54" s="185"/>
      <c r="I54" s="185"/>
      <c r="J54" s="282" t="s">
        <v>2376</v>
      </c>
      <c r="K54" s="281" t="s">
        <v>2377</v>
      </c>
      <c r="L54" s="281" t="s">
        <v>2378</v>
      </c>
      <c r="M54" s="283" t="s">
        <v>2379</v>
      </c>
      <c r="N54" s="283" t="s">
        <v>2380</v>
      </c>
      <c r="P54" s="141" t="str">
        <f t="shared" si="4"/>
        <v>311</v>
      </c>
      <c r="Q54" s="141" t="str">
        <f t="shared" si="5"/>
        <v>31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>
        <v>561</v>
      </c>
      <c r="B55" s="146" t="str">
        <f t="shared" si="1"/>
        <v>Europski socijalni fond (ESF)</v>
      </c>
      <c r="C55" s="151">
        <v>3132</v>
      </c>
      <c r="D55" s="146" t="str">
        <f t="shared" si="2"/>
        <v>Doprinosi za obvezno zdravstveno osiguranje</v>
      </c>
      <c r="E55" s="186" t="s">
        <v>1114</v>
      </c>
      <c r="F55" s="146" t="str">
        <f t="shared" si="3"/>
        <v>Internacionalizacija visokog obrazovanja - razvoj studijskih programa na stranim jezicima u prioritetnim područjima i združenih studija</v>
      </c>
      <c r="G55" s="185">
        <v>39070</v>
      </c>
      <c r="H55" s="185"/>
      <c r="I55" s="185"/>
      <c r="J55" s="282" t="s">
        <v>2376</v>
      </c>
      <c r="K55" s="281" t="s">
        <v>2377</v>
      </c>
      <c r="L55" s="281" t="s">
        <v>2378</v>
      </c>
      <c r="M55" s="201"/>
      <c r="N55" s="201"/>
      <c r="P55" s="141" t="str">
        <f t="shared" si="4"/>
        <v>313</v>
      </c>
      <c r="Q55" s="141" t="str">
        <f t="shared" si="5"/>
        <v>31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>
        <v>561</v>
      </c>
      <c r="B56" s="146" t="str">
        <f t="shared" si="1"/>
        <v>Europski socijalni fond (ESF)</v>
      </c>
      <c r="C56" s="151">
        <v>3211</v>
      </c>
      <c r="D56" s="146" t="str">
        <f t="shared" si="2"/>
        <v>Službena putovanja</v>
      </c>
      <c r="E56" s="186" t="s">
        <v>1114</v>
      </c>
      <c r="F56" s="146" t="str">
        <f t="shared" si="3"/>
        <v>Internacionalizacija visokog obrazovanja - razvoj studijskih programa na stranim jezicima u prioritetnim područjima i združenih studija</v>
      </c>
      <c r="G56" s="185">
        <f>95844+76394</f>
        <v>172238</v>
      </c>
      <c r="H56" s="185"/>
      <c r="I56" s="185"/>
      <c r="J56" s="282" t="s">
        <v>2376</v>
      </c>
      <c r="K56" s="281" t="s">
        <v>2377</v>
      </c>
      <c r="L56" s="281" t="s">
        <v>2378</v>
      </c>
      <c r="M56" s="201"/>
      <c r="N56" s="201"/>
      <c r="P56" s="141" t="str">
        <f t="shared" si="4"/>
        <v>321</v>
      </c>
      <c r="Q56" s="141" t="str">
        <f t="shared" si="5"/>
        <v>32</v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>
        <v>561</v>
      </c>
      <c r="B57" s="146" t="str">
        <f t="shared" si="1"/>
        <v>Europski socijalni fond (ESF)</v>
      </c>
      <c r="C57" s="151">
        <v>3221</v>
      </c>
      <c r="D57" s="146" t="str">
        <f t="shared" si="2"/>
        <v>Uredski materijal i ostali materijalni rashodi</v>
      </c>
      <c r="E57" s="186" t="s">
        <v>1114</v>
      </c>
      <c r="F57" s="146" t="str">
        <f t="shared" si="3"/>
        <v>Internacionalizacija visokog obrazovanja - razvoj studijskih programa na stranim jezicima u prioritetnim područjima i združenih studija</v>
      </c>
      <c r="G57" s="185">
        <v>34000</v>
      </c>
      <c r="H57" s="185"/>
      <c r="I57" s="185"/>
      <c r="J57" s="282" t="s">
        <v>2376</v>
      </c>
      <c r="K57" s="281" t="s">
        <v>2377</v>
      </c>
      <c r="L57" s="281" t="s">
        <v>2378</v>
      </c>
      <c r="M57" s="201"/>
      <c r="N57" s="201"/>
      <c r="P57" s="141" t="str">
        <f t="shared" si="4"/>
        <v>322</v>
      </c>
      <c r="Q57" s="141" t="str">
        <f t="shared" si="5"/>
        <v>32</v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>
        <v>561</v>
      </c>
      <c r="B58" s="146" t="str">
        <f t="shared" si="1"/>
        <v>Europski socijalni fond (ESF)</v>
      </c>
      <c r="C58" s="151">
        <v>3293</v>
      </c>
      <c r="D58" s="146" t="str">
        <f t="shared" si="2"/>
        <v>Reprezentacija</v>
      </c>
      <c r="E58" s="186" t="s">
        <v>1114</v>
      </c>
      <c r="F58" s="146" t="str">
        <f t="shared" si="3"/>
        <v>Internacionalizacija visokog obrazovanja - razvoj studijskih programa na stranim jezicima u prioritetnim područjima i združenih studija</v>
      </c>
      <c r="G58" s="185">
        <v>38122</v>
      </c>
      <c r="H58" s="185"/>
      <c r="I58" s="185"/>
      <c r="J58" s="282" t="s">
        <v>2376</v>
      </c>
      <c r="K58" s="281" t="s">
        <v>2377</v>
      </c>
      <c r="L58" s="281" t="s">
        <v>2378</v>
      </c>
      <c r="M58" s="201"/>
      <c r="N58" s="201"/>
      <c r="P58" s="141" t="str">
        <f t="shared" si="4"/>
        <v>329</v>
      </c>
      <c r="Q58" s="141" t="str">
        <f t="shared" si="5"/>
        <v>32</v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>
        <v>561</v>
      </c>
      <c r="B59" s="146" t="str">
        <f t="shared" si="1"/>
        <v>Europski socijalni fond (ESF)</v>
      </c>
      <c r="C59" s="151">
        <v>3233</v>
      </c>
      <c r="D59" s="146" t="str">
        <f t="shared" si="2"/>
        <v>Usluge promidžbe i informiranja</v>
      </c>
      <c r="E59" s="186" t="s">
        <v>1114</v>
      </c>
      <c r="F59" s="146" t="str">
        <f t="shared" si="3"/>
        <v>Internacionalizacija visokog obrazovanja - razvoj studijskih programa na stranim jezicima u prioritetnim područjima i združenih studija</v>
      </c>
      <c r="G59" s="185">
        <v>45339</v>
      </c>
      <c r="H59" s="185"/>
      <c r="I59" s="185"/>
      <c r="J59" s="282" t="s">
        <v>2376</v>
      </c>
      <c r="K59" s="281" t="s">
        <v>2377</v>
      </c>
      <c r="L59" s="281" t="s">
        <v>2378</v>
      </c>
      <c r="M59" s="201"/>
      <c r="N59" s="201"/>
      <c r="P59" s="141" t="str">
        <f t="shared" si="4"/>
        <v>323</v>
      </c>
      <c r="Q59" s="141" t="str">
        <f t="shared" si="5"/>
        <v>32</v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>
        <v>561</v>
      </c>
      <c r="B60" s="146" t="str">
        <f t="shared" si="1"/>
        <v>Europski socijalni fond (ESF)</v>
      </c>
      <c r="C60" s="151">
        <v>3237</v>
      </c>
      <c r="D60" s="146" t="str">
        <f t="shared" si="2"/>
        <v>Intelektualne i osobne usluge</v>
      </c>
      <c r="E60" s="186" t="s">
        <v>1114</v>
      </c>
      <c r="F60" s="146" t="str">
        <f t="shared" si="3"/>
        <v>Internacionalizacija visokog obrazovanja - razvoj studijskih programa na stranim jezicima u prioritetnim područjima i združenih studija</v>
      </c>
      <c r="G60" s="185">
        <v>47260</v>
      </c>
      <c r="H60" s="185"/>
      <c r="I60" s="185"/>
      <c r="J60" s="282" t="s">
        <v>2376</v>
      </c>
      <c r="K60" s="281" t="s">
        <v>2377</v>
      </c>
      <c r="L60" s="281" t="s">
        <v>2378</v>
      </c>
      <c r="M60" s="201"/>
      <c r="N60" s="201"/>
      <c r="P60" s="141" t="str">
        <f t="shared" si="4"/>
        <v>323</v>
      </c>
      <c r="Q60" s="141" t="str">
        <f t="shared" si="5"/>
        <v>32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>
        <v>12</v>
      </c>
      <c r="B61" s="146" t="str">
        <f t="shared" si="1"/>
        <v>Sredstva učešća za pomoći</v>
      </c>
      <c r="C61" s="151">
        <v>3111</v>
      </c>
      <c r="D61" s="146" t="str">
        <f t="shared" si="2"/>
        <v>Plaće za redovan rad</v>
      </c>
      <c r="E61" s="186" t="s">
        <v>1114</v>
      </c>
      <c r="F61" s="146" t="str">
        <f t="shared" si="3"/>
        <v>Internacionalizacija visokog obrazovanja - razvoj studijskih programa na stranim jezicima u prioritetnim područjima i združenih studija</v>
      </c>
      <c r="G61" s="185">
        <v>63681</v>
      </c>
      <c r="H61" s="185"/>
      <c r="I61" s="185"/>
      <c r="J61" s="282" t="s">
        <v>2376</v>
      </c>
      <c r="K61" s="281" t="s">
        <v>2377</v>
      </c>
      <c r="L61" s="281" t="s">
        <v>2378</v>
      </c>
      <c r="M61" s="201"/>
      <c r="N61" s="201"/>
      <c r="P61" s="141" t="str">
        <f t="shared" si="4"/>
        <v>311</v>
      </c>
      <c r="Q61" s="141" t="str">
        <f t="shared" si="5"/>
        <v>31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>
        <v>12</v>
      </c>
      <c r="B62" s="146" t="str">
        <f t="shared" si="1"/>
        <v>Sredstva učešća za pomoći</v>
      </c>
      <c r="C62" s="151">
        <v>3132</v>
      </c>
      <c r="D62" s="146" t="str">
        <f t="shared" si="2"/>
        <v>Doprinosi za obvezno zdravstveno osiguranje</v>
      </c>
      <c r="E62" s="186" t="s">
        <v>1114</v>
      </c>
      <c r="F62" s="146" t="str">
        <f t="shared" si="3"/>
        <v>Internacionalizacija visokog obrazovanja - razvoj studijskih programa na stranim jezicima u prioritetnim područjima i združenih studija</v>
      </c>
      <c r="G62" s="185">
        <v>6894</v>
      </c>
      <c r="H62" s="185"/>
      <c r="I62" s="185"/>
      <c r="J62" s="282" t="s">
        <v>2376</v>
      </c>
      <c r="K62" s="281" t="s">
        <v>2377</v>
      </c>
      <c r="L62" s="281" t="s">
        <v>2378</v>
      </c>
      <c r="M62" s="201"/>
      <c r="N62" s="201"/>
      <c r="P62" s="141" t="str">
        <f t="shared" si="4"/>
        <v>313</v>
      </c>
      <c r="Q62" s="141" t="str">
        <f t="shared" si="5"/>
        <v>31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>
        <v>12</v>
      </c>
      <c r="B63" s="146" t="str">
        <f t="shared" si="1"/>
        <v>Sredstva učešća za pomoći</v>
      </c>
      <c r="C63" s="151">
        <v>3211</v>
      </c>
      <c r="D63" s="146" t="str">
        <f t="shared" si="2"/>
        <v>Službena putovanja</v>
      </c>
      <c r="E63" s="186" t="s">
        <v>1114</v>
      </c>
      <c r="F63" s="146" t="str">
        <f t="shared" si="3"/>
        <v>Internacionalizacija visokog obrazovanja - razvoj studijskih programa na stranim jezicima u prioritetnim područjima i združenih studija</v>
      </c>
      <c r="G63" s="185">
        <f>16913+13481</f>
        <v>30394</v>
      </c>
      <c r="H63" s="185"/>
      <c r="I63" s="185"/>
      <c r="J63" s="282" t="s">
        <v>2376</v>
      </c>
      <c r="K63" s="281" t="s">
        <v>2377</v>
      </c>
      <c r="L63" s="281" t="s">
        <v>2378</v>
      </c>
      <c r="M63" s="201"/>
      <c r="N63" s="201"/>
      <c r="P63" s="141" t="str">
        <f t="shared" si="4"/>
        <v>321</v>
      </c>
      <c r="Q63" s="141" t="str">
        <f t="shared" si="5"/>
        <v>32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>
        <v>12</v>
      </c>
      <c r="B64" s="146" t="str">
        <f t="shared" si="1"/>
        <v>Sredstva učešća za pomoći</v>
      </c>
      <c r="C64" s="151">
        <v>3221</v>
      </c>
      <c r="D64" s="146" t="str">
        <f t="shared" si="2"/>
        <v>Uredski materijal i ostali materijalni rashodi</v>
      </c>
      <c r="E64" s="186" t="s">
        <v>1114</v>
      </c>
      <c r="F64" s="146" t="str">
        <f t="shared" si="3"/>
        <v>Internacionalizacija visokog obrazovanja - razvoj studijskih programa na stranim jezicima u prioritetnim područjima i združenih studija</v>
      </c>
      <c r="G64" s="185">
        <v>6000</v>
      </c>
      <c r="H64" s="185"/>
      <c r="I64" s="185"/>
      <c r="J64" s="282" t="s">
        <v>2376</v>
      </c>
      <c r="K64" s="281" t="s">
        <v>2377</v>
      </c>
      <c r="L64" s="281" t="s">
        <v>2378</v>
      </c>
      <c r="M64" s="201"/>
      <c r="N64" s="201"/>
      <c r="P64" s="141" t="str">
        <f t="shared" si="4"/>
        <v>322</v>
      </c>
      <c r="Q64" s="141" t="str">
        <f t="shared" si="5"/>
        <v>32</v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>
        <v>12</v>
      </c>
      <c r="B65" s="146" t="str">
        <f t="shared" si="1"/>
        <v>Sredstva učešća za pomoći</v>
      </c>
      <c r="C65" s="151">
        <v>3293</v>
      </c>
      <c r="D65" s="146" t="str">
        <f t="shared" si="2"/>
        <v>Reprezentacija</v>
      </c>
      <c r="E65" s="186" t="s">
        <v>1114</v>
      </c>
      <c r="F65" s="146" t="str">
        <f t="shared" si="3"/>
        <v>Internacionalizacija visokog obrazovanja - razvoj studijskih programa na stranim jezicima u prioritetnim područjima i združenih studija</v>
      </c>
      <c r="G65" s="185">
        <v>6727</v>
      </c>
      <c r="H65" s="185"/>
      <c r="I65" s="185"/>
      <c r="J65" s="282" t="s">
        <v>2376</v>
      </c>
      <c r="K65" s="281" t="s">
        <v>2377</v>
      </c>
      <c r="L65" s="281" t="s">
        <v>2378</v>
      </c>
      <c r="M65" s="201"/>
      <c r="N65" s="201"/>
      <c r="P65" s="141" t="str">
        <f t="shared" si="4"/>
        <v>329</v>
      </c>
      <c r="Q65" s="141" t="str">
        <f t="shared" si="5"/>
        <v>32</v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>
        <v>12</v>
      </c>
      <c r="B66" s="146" t="str">
        <f t="shared" si="1"/>
        <v>Sredstva učešća za pomoći</v>
      </c>
      <c r="C66" s="151">
        <v>3233</v>
      </c>
      <c r="D66" s="146" t="str">
        <f t="shared" si="2"/>
        <v>Usluge promidžbe i informiranja</v>
      </c>
      <c r="E66" s="186" t="s">
        <v>1114</v>
      </c>
      <c r="F66" s="146" t="str">
        <f t="shared" si="3"/>
        <v>Internacionalizacija visokog obrazovanja - razvoj studijskih programa na stranim jezicima u prioritetnim područjima i združenih studija</v>
      </c>
      <c r="G66" s="185">
        <v>8001</v>
      </c>
      <c r="H66" s="185"/>
      <c r="I66" s="185"/>
      <c r="J66" s="282" t="s">
        <v>2376</v>
      </c>
      <c r="K66" s="281" t="s">
        <v>2377</v>
      </c>
      <c r="L66" s="281" t="s">
        <v>2378</v>
      </c>
      <c r="M66" s="201"/>
      <c r="N66" s="201"/>
      <c r="P66" s="141" t="str">
        <f t="shared" si="4"/>
        <v>323</v>
      </c>
      <c r="Q66" s="141" t="str">
        <f t="shared" si="5"/>
        <v>32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>
        <v>12</v>
      </c>
      <c r="B67" s="146" t="str">
        <f t="shared" si="1"/>
        <v>Sredstva učešća za pomoći</v>
      </c>
      <c r="C67" s="151">
        <v>3237</v>
      </c>
      <c r="D67" s="146" t="str">
        <f t="shared" si="2"/>
        <v>Intelektualne i osobne usluge</v>
      </c>
      <c r="E67" s="186" t="s">
        <v>1114</v>
      </c>
      <c r="F67" s="146" t="str">
        <f t="shared" si="3"/>
        <v>Internacionalizacija visokog obrazovanja - razvoj studijskih programa na stranim jezicima u prioritetnim područjima i združenih studija</v>
      </c>
      <c r="G67" s="185">
        <v>8340</v>
      </c>
      <c r="H67" s="185"/>
      <c r="I67" s="185"/>
      <c r="J67" s="282" t="s">
        <v>2376</v>
      </c>
      <c r="K67" s="281" t="s">
        <v>2377</v>
      </c>
      <c r="L67" s="281" t="s">
        <v>2378</v>
      </c>
      <c r="M67" s="201"/>
      <c r="N67" s="201"/>
      <c r="P67" s="141" t="str">
        <f t="shared" si="4"/>
        <v>323</v>
      </c>
      <c r="Q67" s="141" t="str">
        <f t="shared" si="5"/>
        <v>32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>
        <v>561</v>
      </c>
      <c r="B68" s="146" t="str">
        <f t="shared" ref="B68:B131" si="8">IFERROR(VLOOKUP(A68,$R$6:$S$23,2,FALSE),"")</f>
        <v>Europski socijalni fond (ESF)</v>
      </c>
      <c r="C68" s="151">
        <v>3693</v>
      </c>
      <c r="D68" s="146" t="str">
        <f t="shared" ref="D68:D131" si="9">IFERROR(VLOOKUP(C68,$U$5:$W$129,2,FALSE),"")</f>
        <v>Tekući prijenosi između proračunskih korisnika istog proraču</v>
      </c>
      <c r="E68" s="186" t="s">
        <v>1114</v>
      </c>
      <c r="F68" s="146" t="str">
        <f t="shared" ref="F68:F131" si="10">IFERROR(VLOOKUP(E68,$AA$5:$AB$500,2,FALSE),"")</f>
        <v>Internacionalizacija visokog obrazovanja - razvoj studijskih programa na stranim jezicima u prioritetnim područjima i združenih studija</v>
      </c>
      <c r="G68" s="185">
        <v>207258</v>
      </c>
      <c r="H68" s="185"/>
      <c r="I68" s="185"/>
      <c r="J68" s="282" t="s">
        <v>2376</v>
      </c>
      <c r="K68" s="281" t="s">
        <v>2377</v>
      </c>
      <c r="L68" s="281" t="s">
        <v>2378</v>
      </c>
      <c r="M68" s="201"/>
      <c r="N68" s="201"/>
      <c r="P68" s="141" t="str">
        <f t="shared" ref="P68:P131" si="11">LEFT(C68,3)</f>
        <v>369</v>
      </c>
      <c r="Q68" s="141" t="str">
        <f t="shared" ref="Q68:Q131" si="12">LEFT(C68,2)</f>
        <v>36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>
        <v>12</v>
      </c>
      <c r="B69" s="146" t="str">
        <f t="shared" si="8"/>
        <v>Sredstva učešća za pomoći</v>
      </c>
      <c r="C69" s="151">
        <v>3693</v>
      </c>
      <c r="D69" s="146" t="str">
        <f t="shared" si="9"/>
        <v>Tekući prijenosi između proračunskih korisnika istog proraču</v>
      </c>
      <c r="E69" s="186" t="s">
        <v>1114</v>
      </c>
      <c r="F69" s="146" t="str">
        <f t="shared" si="10"/>
        <v>Internacionalizacija visokog obrazovanja - razvoj studijskih programa na stranim jezicima u prioritetnim područjima i združenih studija</v>
      </c>
      <c r="G69" s="185">
        <v>36575</v>
      </c>
      <c r="H69" s="185"/>
      <c r="I69" s="185"/>
      <c r="J69" s="283"/>
      <c r="K69" s="281"/>
      <c r="L69" s="281"/>
      <c r="M69" s="283"/>
      <c r="N69" s="283"/>
      <c r="P69" s="141" t="str">
        <f t="shared" si="11"/>
        <v>369</v>
      </c>
      <c r="Q69" s="141" t="str">
        <f t="shared" si="12"/>
        <v>36</v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 ht="180">
      <c r="A71" s="151">
        <v>563</v>
      </c>
      <c r="B71" s="146" t="str">
        <f t="shared" si="8"/>
        <v>Europski fond za regionalni razvoj (ERDF)</v>
      </c>
      <c r="C71" s="151">
        <v>3111</v>
      </c>
      <c r="D71" s="146" t="str">
        <f t="shared" si="9"/>
        <v>Plaće za redovan rad</v>
      </c>
      <c r="E71" s="186" t="s">
        <v>1970</v>
      </c>
      <c r="F71" s="146" t="str">
        <f t="shared" si="10"/>
        <v>Ulaganje u znanost i inovacije (SIIF)</v>
      </c>
      <c r="G71" s="185">
        <v>236740</v>
      </c>
      <c r="H71" s="185">
        <v>236740</v>
      </c>
      <c r="I71" s="185"/>
      <c r="J71" s="283" t="s">
        <v>2389</v>
      </c>
      <c r="K71" s="281">
        <v>43819</v>
      </c>
      <c r="L71" s="281" t="s">
        <v>2362</v>
      </c>
      <c r="M71" s="283" t="s">
        <v>2390</v>
      </c>
      <c r="N71" s="283" t="s">
        <v>2391</v>
      </c>
      <c r="P71" s="141" t="str">
        <f t="shared" si="11"/>
        <v>311</v>
      </c>
      <c r="Q71" s="141" t="str">
        <f t="shared" si="12"/>
        <v>31</v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>
        <v>563</v>
      </c>
      <c r="B72" s="146" t="str">
        <f t="shared" si="8"/>
        <v>Europski fond za regionalni razvoj (ERDF)</v>
      </c>
      <c r="C72" s="151">
        <v>3211</v>
      </c>
      <c r="D72" s="146" t="str">
        <f t="shared" si="9"/>
        <v>Službena putovanja</v>
      </c>
      <c r="E72" s="186" t="s">
        <v>1970</v>
      </c>
      <c r="F72" s="146" t="str">
        <f t="shared" si="10"/>
        <v>Ulaganje u znanost i inovacije (SIIF)</v>
      </c>
      <c r="G72" s="185">
        <v>51711</v>
      </c>
      <c r="H72" s="185">
        <v>51711</v>
      </c>
      <c r="I72" s="185"/>
      <c r="J72" s="201"/>
      <c r="K72" s="200"/>
      <c r="L72" s="200"/>
      <c r="M72" s="201"/>
      <c r="N72" s="201"/>
      <c r="P72" s="141" t="str">
        <f t="shared" si="11"/>
        <v>321</v>
      </c>
      <c r="Q72" s="141" t="str">
        <f t="shared" si="12"/>
        <v>32</v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>
        <v>563</v>
      </c>
      <c r="B73" s="146" t="str">
        <f t="shared" si="8"/>
        <v>Europski fond za regionalni razvoj (ERDF)</v>
      </c>
      <c r="C73" s="151">
        <v>3222</v>
      </c>
      <c r="D73" s="146" t="str">
        <f t="shared" si="9"/>
        <v>Materijal i sirovine</v>
      </c>
      <c r="E73" s="186" t="s">
        <v>1970</v>
      </c>
      <c r="F73" s="146" t="str">
        <f t="shared" si="10"/>
        <v>Ulaganje u znanost i inovacije (SIIF)</v>
      </c>
      <c r="G73" s="185">
        <v>272025</v>
      </c>
      <c r="H73" s="185">
        <v>272025</v>
      </c>
      <c r="I73" s="185"/>
      <c r="J73" s="201"/>
      <c r="K73" s="200"/>
      <c r="L73" s="200"/>
      <c r="M73" s="201"/>
      <c r="N73" s="201"/>
      <c r="P73" s="141" t="str">
        <f t="shared" si="11"/>
        <v>322</v>
      </c>
      <c r="Q73" s="141" t="str">
        <f t="shared" si="12"/>
        <v>32</v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>
        <v>563</v>
      </c>
      <c r="B74" s="146" t="str">
        <f t="shared" si="8"/>
        <v>Europski fond za regionalni razvoj (ERDF)</v>
      </c>
      <c r="C74" s="151">
        <v>3233</v>
      </c>
      <c r="D74" s="146" t="str">
        <f t="shared" si="9"/>
        <v>Usluge promidžbe i informiranja</v>
      </c>
      <c r="E74" s="186" t="s">
        <v>1970</v>
      </c>
      <c r="F74" s="146" t="str">
        <f t="shared" si="10"/>
        <v>Ulaganje u znanost i inovacije (SIIF)</v>
      </c>
      <c r="G74" s="185">
        <v>25000</v>
      </c>
      <c r="H74" s="185">
        <v>25000</v>
      </c>
      <c r="I74" s="185"/>
      <c r="J74" s="201"/>
      <c r="K74" s="200"/>
      <c r="L74" s="200"/>
      <c r="M74" s="201"/>
      <c r="N74" s="201"/>
      <c r="P74" s="141" t="str">
        <f t="shared" si="11"/>
        <v>323</v>
      </c>
      <c r="Q74" s="141" t="str">
        <f t="shared" si="12"/>
        <v>32</v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>
        <v>563</v>
      </c>
      <c r="B75" s="146" t="str">
        <f t="shared" si="8"/>
        <v>Europski fond za regionalni razvoj (ERDF)</v>
      </c>
      <c r="C75" s="151">
        <v>3237</v>
      </c>
      <c r="D75" s="146" t="str">
        <f t="shared" si="9"/>
        <v>Intelektualne i osobne usluge</v>
      </c>
      <c r="E75" s="186" t="s">
        <v>1970</v>
      </c>
      <c r="F75" s="146" t="str">
        <f t="shared" si="10"/>
        <v>Ulaganje u znanost i inovacije (SIIF)</v>
      </c>
      <c r="G75" s="185">
        <f>118017+328482</f>
        <v>446499</v>
      </c>
      <c r="H75" s="185">
        <f>118017+328482</f>
        <v>446499</v>
      </c>
      <c r="I75" s="185"/>
      <c r="J75" s="201"/>
      <c r="K75" s="200"/>
      <c r="L75" s="200"/>
      <c r="M75" s="201"/>
      <c r="N75" s="201"/>
      <c r="P75" s="141" t="str">
        <f t="shared" si="11"/>
        <v>323</v>
      </c>
      <c r="Q75" s="141" t="str">
        <f t="shared" si="12"/>
        <v>32</v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>
        <v>563</v>
      </c>
      <c r="B76" s="146" t="str">
        <f t="shared" si="8"/>
        <v>Europski fond za regionalni razvoj (ERDF)</v>
      </c>
      <c r="C76" s="151">
        <v>4224</v>
      </c>
      <c r="D76" s="146" t="str">
        <f t="shared" si="9"/>
        <v>Medicinska i laboratorijska oprema</v>
      </c>
      <c r="E76" s="186" t="s">
        <v>1970</v>
      </c>
      <c r="F76" s="146" t="str">
        <f t="shared" si="10"/>
        <v>Ulaganje u znanost i inovacije (SIIF)</v>
      </c>
      <c r="G76" s="185">
        <v>1075607</v>
      </c>
      <c r="H76" s="185">
        <v>1075607</v>
      </c>
      <c r="I76" s="185"/>
      <c r="J76" s="201"/>
      <c r="K76" s="200"/>
      <c r="L76" s="200"/>
      <c r="M76" s="201"/>
      <c r="N76" s="201"/>
      <c r="P76" s="141" t="str">
        <f t="shared" si="11"/>
        <v>422</v>
      </c>
      <c r="Q76" s="141" t="str">
        <f t="shared" si="12"/>
        <v>42</v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D1" zoomScale="80" zoomScaleNormal="80" workbookViewId="0">
      <pane ySplit="2" topLeftCell="A5" activePane="bottomLeft" state="frozen"/>
      <selection pane="bottomLeft" activeCell="T5" sqref="T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8" t="s">
        <v>269</v>
      </c>
      <c r="C3" s="299"/>
      <c r="D3" s="300" t="s">
        <v>42</v>
      </c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2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7800000</v>
      </c>
      <c r="E5" s="3"/>
      <c r="F5" s="3"/>
      <c r="G5" s="3">
        <v>3900000</v>
      </c>
      <c r="H5" s="3"/>
      <c r="I5" s="3">
        <v>3900000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65751263</v>
      </c>
      <c r="E6" s="14">
        <f>+E27+E34</f>
        <v>46814727</v>
      </c>
      <c r="F6" s="14">
        <f t="shared" ref="F6:V6" si="0">+F27+F34</f>
        <v>166612</v>
      </c>
      <c r="G6" s="14">
        <f t="shared" si="0"/>
        <v>3078225</v>
      </c>
      <c r="H6" s="14">
        <f>+H27+H34</f>
        <v>0</v>
      </c>
      <c r="I6" s="14">
        <f t="shared" si="0"/>
        <v>4177250</v>
      </c>
      <c r="J6" s="14">
        <f t="shared" si="0"/>
        <v>0</v>
      </c>
      <c r="K6" s="14">
        <f t="shared" si="0"/>
        <v>7926878</v>
      </c>
      <c r="L6" s="14">
        <f>+L27+L34</f>
        <v>0</v>
      </c>
      <c r="M6" s="14">
        <f t="shared" si="0"/>
        <v>0</v>
      </c>
      <c r="N6" s="14">
        <f t="shared" si="0"/>
        <v>944149</v>
      </c>
      <c r="O6" s="14">
        <f t="shared" si="0"/>
        <v>2107582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535840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-8507659</v>
      </c>
      <c r="E7" s="113">
        <v>0</v>
      </c>
      <c r="F7" s="113"/>
      <c r="G7" s="113">
        <v>-4050000</v>
      </c>
      <c r="H7" s="113"/>
      <c r="I7" s="113">
        <v>-3852000</v>
      </c>
      <c r="J7" s="113"/>
      <c r="K7" s="113">
        <v>-201299</v>
      </c>
      <c r="L7" s="113"/>
      <c r="M7" s="3"/>
      <c r="N7" s="113"/>
      <c r="O7" s="113"/>
      <c r="P7" s="113"/>
      <c r="Q7" s="113"/>
      <c r="R7" s="113"/>
      <c r="S7" s="113">
        <v>-404360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65043604</v>
      </c>
      <c r="E8" s="14">
        <f>+E5+E6+E7</f>
        <v>46814727</v>
      </c>
      <c r="F8" s="14">
        <f t="shared" ref="F8:V8" si="2">+F5+F6+F7</f>
        <v>166612</v>
      </c>
      <c r="G8" s="14">
        <f t="shared" si="2"/>
        <v>2928225</v>
      </c>
      <c r="H8" s="14">
        <f>+H5+H6+H7</f>
        <v>0</v>
      </c>
      <c r="I8" s="14">
        <f t="shared" si="2"/>
        <v>4225250</v>
      </c>
      <c r="J8" s="14">
        <f t="shared" si="2"/>
        <v>0</v>
      </c>
      <c r="K8" s="14">
        <f t="shared" si="2"/>
        <v>7725579</v>
      </c>
      <c r="L8" s="14">
        <f>+L5+L6+L7</f>
        <v>0</v>
      </c>
      <c r="M8" s="14">
        <f t="shared" si="2"/>
        <v>0</v>
      </c>
      <c r="N8" s="14">
        <f t="shared" si="2"/>
        <v>944149</v>
      </c>
      <c r="O8" s="14">
        <f t="shared" si="2"/>
        <v>2107582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131480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65043604.25</v>
      </c>
      <c r="E9" s="136">
        <f>+'PLAN RASHODA I IZDATAKA'!E3</f>
        <v>46814727.25</v>
      </c>
      <c r="F9" s="136">
        <f>+'PLAN RASHODA I IZDATAKA'!F3</f>
        <v>166612</v>
      </c>
      <c r="G9" s="136">
        <f>+'PLAN RASHODA I IZDATAKA'!G3</f>
        <v>2928225</v>
      </c>
      <c r="H9" s="136">
        <f>+'PLAN RASHODA I IZDATAKA'!H3</f>
        <v>0</v>
      </c>
      <c r="I9" s="136">
        <f>+'PLAN RASHODA I IZDATAKA'!I3</f>
        <v>4225250</v>
      </c>
      <c r="J9" s="136">
        <f>+'PLAN RASHODA I IZDATAKA'!J3</f>
        <v>0</v>
      </c>
      <c r="K9" s="136">
        <f>+'PLAN RASHODA I IZDATAKA'!K3</f>
        <v>7725579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944149</v>
      </c>
      <c r="O9" s="136">
        <f>+'PLAN RASHODA I IZDATAKA'!O3</f>
        <v>2107582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131480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-0.25</v>
      </c>
      <c r="E10" s="118">
        <f>+E8-E9</f>
        <v>-0.25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3051731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944149</v>
      </c>
      <c r="O13" s="189">
        <f>SUMIFS('Plan prihoda za unos u SAP'!$G$3:$G$501,'Plan prihoda za unos u SAP'!$C$3:$C$501,"=563",'Plan prihoda za unos u SAP'!$K$3:$K$501,"=632")</f>
        <v>2107582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7926878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7926878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4177250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4177250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3078225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3078225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535840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535840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46981339</v>
      </c>
      <c r="E24" s="189">
        <f>SUMIFS('Plan prihoda za unos u SAP'!$G$3:$G$501,'Plan prihoda za unos u SAP'!$C$3:$C$501,"=11",'Plan prihoda za unos u SAP'!$K$3:$K$501,"=671")</f>
        <v>46814727</v>
      </c>
      <c r="F24" s="189">
        <f>SUMIFS('Plan prihoda za unos u SAP'!$G$3:$G$501,'Plan prihoda za unos u SAP'!$C$3:$C$501,"=12",'Plan prihoda za unos u SAP'!$K$3:$K$501,"=671")</f>
        <v>166612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65751263</v>
      </c>
      <c r="E27" s="4">
        <f>SUM(E11:E26)</f>
        <v>46814727</v>
      </c>
      <c r="F27" s="4">
        <f t="shared" ref="F27:W27" si="4">SUM(F11:F26)</f>
        <v>166612</v>
      </c>
      <c r="G27" s="4">
        <f t="shared" si="4"/>
        <v>3078225</v>
      </c>
      <c r="H27" s="4">
        <f t="shared" si="4"/>
        <v>0</v>
      </c>
      <c r="I27" s="4">
        <f t="shared" si="4"/>
        <v>4177250</v>
      </c>
      <c r="J27" s="4">
        <f t="shared" si="4"/>
        <v>0</v>
      </c>
      <c r="K27" s="4">
        <f t="shared" si="4"/>
        <v>7926878</v>
      </c>
      <c r="L27" s="4">
        <f t="shared" si="4"/>
        <v>0</v>
      </c>
      <c r="M27" s="4">
        <f t="shared" si="4"/>
        <v>0</v>
      </c>
      <c r="N27" s="4">
        <f t="shared" si="4"/>
        <v>944149</v>
      </c>
      <c r="O27" s="4">
        <f t="shared" si="4"/>
        <v>2107582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535840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3" t="s">
        <v>316</v>
      </c>
      <c r="C42" s="303"/>
      <c r="D42" s="70">
        <f>SUM(E42:W42)</f>
        <v>65751263</v>
      </c>
      <c r="E42" s="71">
        <f>+E41+E34+E27</f>
        <v>46814727</v>
      </c>
      <c r="F42" s="71">
        <f t="shared" ref="F42:U42" si="9">+F41+F34+F27</f>
        <v>166612</v>
      </c>
      <c r="G42" s="71">
        <f t="shared" si="9"/>
        <v>3078225</v>
      </c>
      <c r="H42" s="71">
        <f>+H41+H34+H27</f>
        <v>0</v>
      </c>
      <c r="I42" s="71">
        <f t="shared" si="9"/>
        <v>4177250</v>
      </c>
      <c r="J42" s="71">
        <f t="shared" si="9"/>
        <v>0</v>
      </c>
      <c r="K42" s="71">
        <f t="shared" si="9"/>
        <v>7926878</v>
      </c>
      <c r="L42" s="71">
        <f>+L41+L34+L27</f>
        <v>0</v>
      </c>
      <c r="M42" s="71">
        <f>+M41+M34+M27</f>
        <v>0</v>
      </c>
      <c r="N42" s="71">
        <f t="shared" si="9"/>
        <v>944149</v>
      </c>
      <c r="O42" s="71">
        <f t="shared" si="9"/>
        <v>2107582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535840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8" t="s">
        <v>269</v>
      </c>
      <c r="C44" s="299"/>
      <c r="D44" s="300" t="s">
        <v>783</v>
      </c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2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8507659</v>
      </c>
      <c r="E46" s="188">
        <f t="shared" ref="E46:W46" si="10">-E7</f>
        <v>0</v>
      </c>
      <c r="F46" s="188">
        <f t="shared" si="10"/>
        <v>0</v>
      </c>
      <c r="G46" s="188">
        <f t="shared" si="10"/>
        <v>4050000</v>
      </c>
      <c r="H46" s="188">
        <f t="shared" si="10"/>
        <v>0</v>
      </c>
      <c r="I46" s="188">
        <f t="shared" si="10"/>
        <v>3852000</v>
      </c>
      <c r="J46" s="188">
        <f t="shared" si="10"/>
        <v>0</v>
      </c>
      <c r="K46" s="188">
        <f t="shared" si="10"/>
        <v>201299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404360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64691161</v>
      </c>
      <c r="E47" s="14">
        <f t="shared" ref="E47:V47" si="13">+E68+E75</f>
        <v>48553380</v>
      </c>
      <c r="F47" s="14">
        <f t="shared" si="13"/>
        <v>0</v>
      </c>
      <c r="G47" s="14">
        <f t="shared" si="13"/>
        <v>2943851</v>
      </c>
      <c r="H47" s="14">
        <f>+H68+H75</f>
        <v>0</v>
      </c>
      <c r="I47" s="14">
        <f t="shared" si="13"/>
        <v>4180750</v>
      </c>
      <c r="J47" s="14">
        <f t="shared" si="13"/>
        <v>0</v>
      </c>
      <c r="K47" s="14">
        <f t="shared" si="13"/>
        <v>6457858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2107582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447740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-9752156</v>
      </c>
      <c r="E48" s="113"/>
      <c r="F48" s="113"/>
      <c r="G48" s="113">
        <v>-4300000</v>
      </c>
      <c r="H48" s="113"/>
      <c r="I48" s="113">
        <v>-4102000</v>
      </c>
      <c r="J48" s="113"/>
      <c r="K48" s="113">
        <v>-596336</v>
      </c>
      <c r="L48" s="113"/>
      <c r="M48" s="3"/>
      <c r="N48" s="113"/>
      <c r="O48" s="113"/>
      <c r="P48" s="113"/>
      <c r="Q48" s="113"/>
      <c r="R48" s="113"/>
      <c r="S48" s="113">
        <v>-753820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63446664</v>
      </c>
      <c r="E49" s="14">
        <f>+E46+E47+E48</f>
        <v>48553380</v>
      </c>
      <c r="F49" s="14">
        <f t="shared" ref="F49:V49" si="14">+F46+F47+F48</f>
        <v>0</v>
      </c>
      <c r="G49" s="14">
        <f t="shared" si="14"/>
        <v>2693851</v>
      </c>
      <c r="H49" s="14">
        <f>+H46+H47+H48</f>
        <v>0</v>
      </c>
      <c r="I49" s="14">
        <f t="shared" si="14"/>
        <v>3930750</v>
      </c>
      <c r="J49" s="14">
        <f t="shared" si="14"/>
        <v>0</v>
      </c>
      <c r="K49" s="14">
        <f t="shared" si="14"/>
        <v>6062821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2107582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98280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63446664.25</v>
      </c>
      <c r="E50" s="136">
        <f>+'PLAN RASHODA I IZDATAKA'!E71</f>
        <v>48553380.25</v>
      </c>
      <c r="F50" s="136">
        <f>+'PLAN RASHODA I IZDATAKA'!F71</f>
        <v>0</v>
      </c>
      <c r="G50" s="136">
        <f>+'PLAN RASHODA I IZDATAKA'!G71</f>
        <v>2693851</v>
      </c>
      <c r="H50" s="136">
        <f>+'PLAN RASHODA I IZDATAKA'!H71</f>
        <v>0</v>
      </c>
      <c r="I50" s="136">
        <f>+'PLAN RASHODA I IZDATAKA'!I71</f>
        <v>3930750</v>
      </c>
      <c r="J50" s="136">
        <f>+'PLAN RASHODA I IZDATAKA'!J71</f>
        <v>0</v>
      </c>
      <c r="K50" s="136">
        <f>+'PLAN RASHODA I IZDATAKA'!K71</f>
        <v>6062821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2107582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98280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-0.25</v>
      </c>
      <c r="E51" s="118">
        <f>+E49-E50</f>
        <v>-0.25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2107582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2107582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6457858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6457858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4180750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4180750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2943851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2943851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447740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447740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48553380</v>
      </c>
      <c r="E65" s="189">
        <f>SUMIFS('Plan prihoda za unos u SAP'!$H$3:$H$501,'Plan prihoda za unos u SAP'!$C$3:$C$501,"=11",'Plan prihoda za unos u SAP'!$K$3:$K$501,"=671")</f>
        <v>48553380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64691161</v>
      </c>
      <c r="E68" s="4">
        <f>SUM(E52:E67)</f>
        <v>48553380</v>
      </c>
      <c r="F68" s="4">
        <f t="shared" ref="F68:W68" si="16">SUM(F52:F67)</f>
        <v>0</v>
      </c>
      <c r="G68" s="4">
        <f t="shared" si="16"/>
        <v>2943851</v>
      </c>
      <c r="H68" s="4">
        <f t="shared" si="16"/>
        <v>0</v>
      </c>
      <c r="I68" s="4">
        <f t="shared" si="16"/>
        <v>4180750</v>
      </c>
      <c r="J68" s="4">
        <f>SUM(J52:J67)</f>
        <v>0</v>
      </c>
      <c r="K68" s="4">
        <f t="shared" si="16"/>
        <v>6457858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2107582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447740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3" t="s">
        <v>316</v>
      </c>
      <c r="C83" s="303"/>
      <c r="D83" s="71">
        <f>SUM(E83:W83)</f>
        <v>64691161</v>
      </c>
      <c r="E83" s="71">
        <f t="shared" ref="E83:V83" si="21">+E82+E75+E68</f>
        <v>48553380</v>
      </c>
      <c r="F83" s="71">
        <f t="shared" si="21"/>
        <v>0</v>
      </c>
      <c r="G83" s="71">
        <f t="shared" si="21"/>
        <v>2943851</v>
      </c>
      <c r="H83" s="71">
        <f>+H82+H75+H68</f>
        <v>0</v>
      </c>
      <c r="I83" s="71">
        <f t="shared" si="21"/>
        <v>4180750</v>
      </c>
      <c r="J83" s="71">
        <f t="shared" si="21"/>
        <v>0</v>
      </c>
      <c r="K83" s="71">
        <f t="shared" si="21"/>
        <v>6457858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2107582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447740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8" t="s">
        <v>269</v>
      </c>
      <c r="C85" s="299"/>
      <c r="D85" s="300" t="s">
        <v>2145</v>
      </c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2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9752156</v>
      </c>
      <c r="E87" s="188">
        <f t="shared" ref="E87:V87" si="22">-E48</f>
        <v>0</v>
      </c>
      <c r="F87" s="188">
        <f t="shared" si="22"/>
        <v>0</v>
      </c>
      <c r="G87" s="188">
        <f t="shared" si="22"/>
        <v>4300000</v>
      </c>
      <c r="H87" s="188">
        <f>-H48</f>
        <v>0</v>
      </c>
      <c r="I87" s="188">
        <f t="shared" si="22"/>
        <v>4102000</v>
      </c>
      <c r="J87" s="188">
        <f t="shared" si="22"/>
        <v>0</v>
      </c>
      <c r="K87" s="188">
        <f t="shared" si="22"/>
        <v>596336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753820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61263612</v>
      </c>
      <c r="E88" s="14">
        <f t="shared" ref="E88:V88" si="24">+E109+E116</f>
        <v>48776690</v>
      </c>
      <c r="F88" s="14">
        <f t="shared" si="24"/>
        <v>0</v>
      </c>
      <c r="G88" s="14">
        <f t="shared" si="24"/>
        <v>2813700</v>
      </c>
      <c r="H88" s="14">
        <f>+H109+H116</f>
        <v>0</v>
      </c>
      <c r="I88" s="14">
        <f t="shared" si="24"/>
        <v>3956250</v>
      </c>
      <c r="J88" s="14">
        <f t="shared" si="24"/>
        <v>0</v>
      </c>
      <c r="K88" s="14">
        <f t="shared" si="24"/>
        <v>5527010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189962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-10465611</v>
      </c>
      <c r="E89" s="113"/>
      <c r="F89" s="113"/>
      <c r="G89" s="113">
        <v>-4600000</v>
      </c>
      <c r="H89" s="113"/>
      <c r="I89" s="113">
        <v>-4347000</v>
      </c>
      <c r="J89" s="113"/>
      <c r="K89" s="113">
        <v>-669810</v>
      </c>
      <c r="L89" s="113"/>
      <c r="M89" s="3"/>
      <c r="N89" s="113"/>
      <c r="O89" s="113"/>
      <c r="P89" s="113"/>
      <c r="Q89" s="113"/>
      <c r="R89" s="113"/>
      <c r="S89" s="113">
        <v>-848801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60550157</v>
      </c>
      <c r="E90" s="14">
        <f>+E87+E88+E89</f>
        <v>48776690</v>
      </c>
      <c r="F90" s="14">
        <f t="shared" ref="F90:V90" si="25">+F87+F88+F89</f>
        <v>0</v>
      </c>
      <c r="G90" s="14">
        <f t="shared" si="25"/>
        <v>2513700</v>
      </c>
      <c r="H90" s="14">
        <f>+H87+H88+H89</f>
        <v>0</v>
      </c>
      <c r="I90" s="14">
        <f t="shared" si="25"/>
        <v>3711250</v>
      </c>
      <c r="J90" s="14">
        <f t="shared" si="25"/>
        <v>0</v>
      </c>
      <c r="K90" s="14">
        <f t="shared" si="25"/>
        <v>5453536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94981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60550156.960000001</v>
      </c>
      <c r="E91" s="136">
        <f>+'PLAN RASHODA I IZDATAKA'!E91</f>
        <v>48776689.960000001</v>
      </c>
      <c r="F91" s="136">
        <f>+'PLAN RASHODA I IZDATAKA'!F91</f>
        <v>0</v>
      </c>
      <c r="G91" s="136">
        <f>+'PLAN RASHODA I IZDATAKA'!G91</f>
        <v>2513700</v>
      </c>
      <c r="H91" s="136">
        <f>+'PLAN RASHODA I IZDATAKA'!H91</f>
        <v>0</v>
      </c>
      <c r="I91" s="136">
        <f>+'PLAN RASHODA I IZDATAKA'!I91</f>
        <v>3711250</v>
      </c>
      <c r="J91" s="136">
        <f>+'PLAN RASHODA I IZDATAKA'!J91</f>
        <v>0</v>
      </c>
      <c r="K91" s="136">
        <f>+'PLAN RASHODA I IZDATAKA'!K91</f>
        <v>5453536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94981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3.9999999105930328E-2</v>
      </c>
      <c r="E92" s="118">
        <f>+E90-E91</f>
        <v>3.9999999105930328E-2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5527010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5527010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3956250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3956250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2813700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2813700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189962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189962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48776690</v>
      </c>
      <c r="E106" s="189">
        <f>SUMIFS('Plan prihoda za unos u SAP'!$I$3:$I$501,'Plan prihoda za unos u SAP'!$C$3:$C$501,"=11",'Plan prihoda za unos u SAP'!$K$3:$K$501,"=671")</f>
        <v>48776690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61263612</v>
      </c>
      <c r="E109" s="4">
        <f>SUM(E93:E108)</f>
        <v>48776690</v>
      </c>
      <c r="F109" s="4">
        <f t="shared" ref="F109:W109" si="27">SUM(F93:F108)</f>
        <v>0</v>
      </c>
      <c r="G109" s="4">
        <f t="shared" si="27"/>
        <v>2813700</v>
      </c>
      <c r="H109" s="4">
        <f t="shared" si="27"/>
        <v>0</v>
      </c>
      <c r="I109" s="4">
        <f t="shared" si="27"/>
        <v>3956250</v>
      </c>
      <c r="J109" s="4">
        <f t="shared" si="27"/>
        <v>0</v>
      </c>
      <c r="K109" s="4">
        <f t="shared" si="27"/>
        <v>5527010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189962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3" t="s">
        <v>316</v>
      </c>
      <c r="C124" s="303"/>
      <c r="D124" s="71">
        <f>SUM(E124:W124)</f>
        <v>61263612</v>
      </c>
      <c r="E124" s="71">
        <f>+E123+E116+E109</f>
        <v>48776690</v>
      </c>
      <c r="F124" s="71">
        <f t="shared" ref="F124:W124" si="32">+F123+F116+F109</f>
        <v>0</v>
      </c>
      <c r="G124" s="71">
        <f t="shared" si="32"/>
        <v>2813700</v>
      </c>
      <c r="H124" s="71">
        <f>+H123+H116+H109</f>
        <v>0</v>
      </c>
      <c r="I124" s="71">
        <f t="shared" si="32"/>
        <v>3956250</v>
      </c>
      <c r="J124" s="71">
        <f t="shared" si="32"/>
        <v>0</v>
      </c>
      <c r="K124" s="71">
        <f t="shared" si="32"/>
        <v>5527010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189962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16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4" t="s">
        <v>2144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65043604.25</v>
      </c>
      <c r="E3" s="121">
        <f t="shared" ref="E3:W3" si="0">E4+E38+E58</f>
        <v>46814727.25</v>
      </c>
      <c r="F3" s="121">
        <f t="shared" si="0"/>
        <v>166612</v>
      </c>
      <c r="G3" s="121">
        <f t="shared" si="0"/>
        <v>2928225</v>
      </c>
      <c r="H3" s="121">
        <f>H4+H38+H58</f>
        <v>0</v>
      </c>
      <c r="I3" s="121">
        <f t="shared" si="0"/>
        <v>4225250</v>
      </c>
      <c r="J3" s="121">
        <f t="shared" si="0"/>
        <v>0</v>
      </c>
      <c r="K3" s="121">
        <f t="shared" si="0"/>
        <v>7725579</v>
      </c>
      <c r="L3" s="121">
        <f>L4+L38+L58</f>
        <v>0</v>
      </c>
      <c r="M3" s="121">
        <f t="shared" si="0"/>
        <v>0</v>
      </c>
      <c r="N3" s="121">
        <f t="shared" si="0"/>
        <v>944149</v>
      </c>
      <c r="O3" s="121">
        <f t="shared" si="0"/>
        <v>2107582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131480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61140074.869999997</v>
      </c>
      <c r="E4" s="125">
        <f>E5+E9+E15+E19+E23+E30+E33</f>
        <v>46766669.869999997</v>
      </c>
      <c r="F4" s="125">
        <f t="shared" ref="F4:W4" si="2">F5+F9+F15+F19+F23+F30+F33</f>
        <v>166612</v>
      </c>
      <c r="G4" s="125">
        <f t="shared" si="2"/>
        <v>2198225</v>
      </c>
      <c r="H4" s="125">
        <f>H5+H9+H15+H19+H23+H30+H33</f>
        <v>0</v>
      </c>
      <c r="I4" s="125">
        <f t="shared" si="2"/>
        <v>3805250</v>
      </c>
      <c r="J4" s="125">
        <f t="shared" si="2"/>
        <v>0</v>
      </c>
      <c r="K4" s="125">
        <f t="shared" si="2"/>
        <v>6108914</v>
      </c>
      <c r="L4" s="125">
        <f>L5+L9+L15+L19+L23+L30+L33</f>
        <v>0</v>
      </c>
      <c r="M4" s="125">
        <f t="shared" si="2"/>
        <v>0</v>
      </c>
      <c r="N4" s="125">
        <f t="shared" si="2"/>
        <v>944149</v>
      </c>
      <c r="O4" s="125">
        <f t="shared" si="2"/>
        <v>1031975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118280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44586955</v>
      </c>
      <c r="E5" s="12">
        <f>SUM(E6:E8)</f>
        <v>42046223</v>
      </c>
      <c r="F5" s="12">
        <f t="shared" ref="F5:W5" si="3">SUM(F6:F8)</f>
        <v>70575</v>
      </c>
      <c r="G5" s="12">
        <f t="shared" si="3"/>
        <v>408725</v>
      </c>
      <c r="H5" s="12">
        <f>SUM(H6:H8)</f>
        <v>0</v>
      </c>
      <c r="I5" s="12">
        <f t="shared" si="3"/>
        <v>1131750</v>
      </c>
      <c r="J5" s="12">
        <f t="shared" si="3"/>
        <v>0</v>
      </c>
      <c r="K5" s="12">
        <f t="shared" si="3"/>
        <v>235730</v>
      </c>
      <c r="L5" s="12">
        <f>SUM(L6:L8)</f>
        <v>0</v>
      </c>
      <c r="M5" s="12">
        <f t="shared" si="3"/>
        <v>0</v>
      </c>
      <c r="N5" s="12">
        <f t="shared" si="3"/>
        <v>399932</v>
      </c>
      <c r="O5" s="12">
        <f t="shared" si="3"/>
        <v>236740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57280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37496265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35364368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63681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265000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950000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206446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360862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236740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49168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1096668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971668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25000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5994022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5710187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6894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43725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156750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29284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39070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8112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11049705.889999999</v>
      </c>
      <c r="E9" s="78">
        <f t="shared" ref="E9:W9" si="4">SUM(E10:E14)</f>
        <v>4635865.8899999987</v>
      </c>
      <c r="F9" s="78">
        <f t="shared" si="4"/>
        <v>59462</v>
      </c>
      <c r="G9" s="78">
        <f>SUM(G10:G14)</f>
        <v>1785500</v>
      </c>
      <c r="H9" s="78">
        <f>SUM(H10:H14)</f>
        <v>0</v>
      </c>
      <c r="I9" s="78">
        <f t="shared" si="4"/>
        <v>2602500</v>
      </c>
      <c r="J9" s="78">
        <f t="shared" si="4"/>
        <v>0</v>
      </c>
      <c r="K9" s="78">
        <f t="shared" si="4"/>
        <v>773184</v>
      </c>
      <c r="L9" s="78">
        <f>SUM(L10:L14)</f>
        <v>0</v>
      </c>
      <c r="M9" s="78">
        <f t="shared" si="4"/>
        <v>0</v>
      </c>
      <c r="N9" s="78">
        <f t="shared" si="4"/>
        <v>336959</v>
      </c>
      <c r="O9" s="78">
        <f t="shared" si="4"/>
        <v>795235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61000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3628894.95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1634563.95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30394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702000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582000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435988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172238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51711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20000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2934439.87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1418653.8699999999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6000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448000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613000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126761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34000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272025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16000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3290572.05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1173198.0499999998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16341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402500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899000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210435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92599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471499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25000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63922.3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1922.3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12000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50000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1131876.72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407527.72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6727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221000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458500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38122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136513.44</v>
      </c>
      <c r="E15" s="4">
        <f t="shared" ref="E15:W15" si="5">SUM(E16:E18)</f>
        <v>61513.440000000002</v>
      </c>
      <c r="F15" s="4">
        <f t="shared" si="5"/>
        <v>0</v>
      </c>
      <c r="G15" s="4">
        <f t="shared" si="5"/>
        <v>4000</v>
      </c>
      <c r="H15" s="4">
        <f>SUM(H16:H18)</f>
        <v>0</v>
      </c>
      <c r="I15" s="4">
        <f t="shared" si="5"/>
        <v>71000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136513.44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61513.440000000002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4000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71000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243833</v>
      </c>
      <c r="E23" s="78">
        <f t="shared" ref="E23:W23" si="7">SUM(E24:E29)</f>
        <v>0</v>
      </c>
      <c r="F23" s="78">
        <f t="shared" si="7"/>
        <v>36575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207258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243833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36575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207258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5123067.54</v>
      </c>
      <c r="E30" s="4">
        <f t="shared" ref="E30:W30" si="8">SUM(E31:E32)</f>
        <v>23067.54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5100000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5100000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5100000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23067.54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23067.54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3903529.38</v>
      </c>
      <c r="E38" s="126">
        <f>E42+E49+E51+E53+E39</f>
        <v>48057.38</v>
      </c>
      <c r="F38" s="126">
        <f t="shared" ref="F38:W38" si="10">F42+F49+F51+F53+F39</f>
        <v>0</v>
      </c>
      <c r="G38" s="126">
        <f t="shared" si="10"/>
        <v>730000</v>
      </c>
      <c r="H38" s="126">
        <f>H42+H49+H51+H53+H39</f>
        <v>0</v>
      </c>
      <c r="I38" s="126">
        <f t="shared" si="10"/>
        <v>420000</v>
      </c>
      <c r="J38" s="126">
        <f t="shared" si="10"/>
        <v>0</v>
      </c>
      <c r="K38" s="126">
        <f t="shared" si="10"/>
        <v>1616665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1075607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13200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800000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600000</v>
      </c>
      <c r="H39" s="12">
        <f>SUM(H40:H41)</f>
        <v>0</v>
      </c>
      <c r="I39" s="12">
        <f t="shared" si="11"/>
        <v>200000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800000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600000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200000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3103529.38</v>
      </c>
      <c r="E42" s="4">
        <f t="shared" ref="E42:W42" si="12">SUM(E43:E48)</f>
        <v>48057.38</v>
      </c>
      <c r="F42" s="4">
        <f t="shared" si="12"/>
        <v>0</v>
      </c>
      <c r="G42" s="4">
        <f t="shared" si="12"/>
        <v>130000</v>
      </c>
      <c r="H42" s="4">
        <f>SUM(H43:H48)</f>
        <v>0</v>
      </c>
      <c r="I42" s="4">
        <f t="shared" si="12"/>
        <v>220000</v>
      </c>
      <c r="J42" s="4">
        <f t="shared" si="12"/>
        <v>0</v>
      </c>
      <c r="K42" s="4">
        <f t="shared" si="12"/>
        <v>1616665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1075607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13200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3055472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130000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220000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1616665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1075607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13200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48057.38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48057.38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63446664.25</v>
      </c>
      <c r="E71" s="121">
        <f t="shared" ref="E71:V71" si="20">+E72+E80+E86</f>
        <v>48553380.25</v>
      </c>
      <c r="F71" s="121">
        <f t="shared" si="20"/>
        <v>0</v>
      </c>
      <c r="G71" s="121">
        <f t="shared" si="20"/>
        <v>2693851</v>
      </c>
      <c r="H71" s="121">
        <f>+H72+H80+H86</f>
        <v>0</v>
      </c>
      <c r="I71" s="121">
        <f t="shared" si="20"/>
        <v>3930750</v>
      </c>
      <c r="J71" s="121">
        <f t="shared" si="20"/>
        <v>0</v>
      </c>
      <c r="K71" s="121">
        <f t="shared" si="20"/>
        <v>6062821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2107582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98280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61454621.509999998</v>
      </c>
      <c r="E72" s="130">
        <f t="shared" ref="E72:V72" si="22">SUM(E73:E79)</f>
        <v>48489944.509999998</v>
      </c>
      <c r="F72" s="130">
        <f t="shared" si="22"/>
        <v>0</v>
      </c>
      <c r="G72" s="130">
        <f t="shared" si="22"/>
        <v>2053851</v>
      </c>
      <c r="H72" s="130">
        <f>SUM(H73:H79)</f>
        <v>0</v>
      </c>
      <c r="I72" s="130">
        <f t="shared" si="22"/>
        <v>3740750</v>
      </c>
      <c r="J72" s="130">
        <f t="shared" si="22"/>
        <v>0</v>
      </c>
      <c r="K72" s="130">
        <f t="shared" si="22"/>
        <v>6039821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1031975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98280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45323932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43391702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299700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1131750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206760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236740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57280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10812108.52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5013661.5199999996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1750151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2529000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683061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795235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41000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142149.43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58149.43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4000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80000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5176431.5599999996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26431.56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5150000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1992042.74</v>
      </c>
      <c r="E80" s="131">
        <f t="shared" ref="E80:V80" si="23">SUM(E81:E85)</f>
        <v>63435.74</v>
      </c>
      <c r="F80" s="131">
        <f t="shared" si="23"/>
        <v>0</v>
      </c>
      <c r="G80" s="131">
        <f t="shared" si="23"/>
        <v>640000</v>
      </c>
      <c r="H80" s="131">
        <f>SUM(H81:H85)</f>
        <v>0</v>
      </c>
      <c r="I80" s="131">
        <f t="shared" si="23"/>
        <v>190000</v>
      </c>
      <c r="J80" s="131">
        <f t="shared" si="23"/>
        <v>0</v>
      </c>
      <c r="K80" s="131">
        <f t="shared" si="23"/>
        <v>23000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1075607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550000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550000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1442042.74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63435.74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90000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190000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23000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1075607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60550156.960000001</v>
      </c>
      <c r="E91" s="121">
        <f t="shared" ref="E91:W91" si="25">E92+E100+E106</f>
        <v>48776689.960000001</v>
      </c>
      <c r="F91" s="121">
        <f t="shared" si="25"/>
        <v>0</v>
      </c>
      <c r="G91" s="121">
        <f t="shared" si="25"/>
        <v>2513700</v>
      </c>
      <c r="H91" s="121">
        <f>H92+H100+H106</f>
        <v>0</v>
      </c>
      <c r="I91" s="121">
        <f t="shared" si="25"/>
        <v>3711250</v>
      </c>
      <c r="J91" s="121">
        <f t="shared" si="25"/>
        <v>0</v>
      </c>
      <c r="K91" s="121">
        <f t="shared" si="25"/>
        <v>5453536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94981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59695184.910000004</v>
      </c>
      <c r="E92" s="130">
        <f t="shared" ref="E92:G92" si="27">SUM(E93:E99)</f>
        <v>48707967.910000004</v>
      </c>
      <c r="F92" s="130">
        <f t="shared" si="27"/>
        <v>0</v>
      </c>
      <c r="G92" s="130">
        <f t="shared" si="27"/>
        <v>1883700</v>
      </c>
      <c r="H92" s="130">
        <f>SUM(H93:H99)</f>
        <v>0</v>
      </c>
      <c r="I92" s="130">
        <f t="shared" ref="I92:K92" si="28">SUM(I93:I99)</f>
        <v>3561250</v>
      </c>
      <c r="J92" s="130">
        <f t="shared" si="28"/>
        <v>0</v>
      </c>
      <c r="K92" s="130">
        <f t="shared" si="28"/>
        <v>5453536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88731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45082842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43608661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309700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1131750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32731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9242761.9199999981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5014725.9199999981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1569000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2349500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253536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56000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143149.43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58149.43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5000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80000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5226431.5599999996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26431.56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5200000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854972.05</v>
      </c>
      <c r="E100" s="131">
        <f t="shared" ref="E100:G100" si="31">SUM(E101:E105)</f>
        <v>68722.05</v>
      </c>
      <c r="F100" s="131">
        <f t="shared" si="31"/>
        <v>0</v>
      </c>
      <c r="G100" s="131">
        <f t="shared" si="31"/>
        <v>630000</v>
      </c>
      <c r="H100" s="131">
        <f>SUM(H101:H105)</f>
        <v>0</v>
      </c>
      <c r="I100" s="131">
        <f t="shared" ref="I100:K100" si="32">SUM(I101:I105)</f>
        <v>150000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6250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500000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500000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354972.05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68722.05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130000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150000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6250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7" t="s">
        <v>226</v>
      </c>
      <c r="B10" s="309" t="s">
        <v>227</v>
      </c>
      <c r="C10" s="309" t="s">
        <v>228</v>
      </c>
      <c r="D10" s="312" t="s">
        <v>229</v>
      </c>
      <c r="E10" s="305" t="s">
        <v>2137</v>
      </c>
      <c r="F10" s="305" t="s">
        <v>230</v>
      </c>
      <c r="G10" s="305" t="s">
        <v>791</v>
      </c>
      <c r="H10" s="305" t="s">
        <v>2138</v>
      </c>
    </row>
    <row r="11" spans="1:8" ht="15.75" thickBot="1">
      <c r="A11" s="308"/>
      <c r="B11" s="310"/>
      <c r="C11" s="311"/>
      <c r="D11" s="313"/>
      <c r="E11" s="314"/>
      <c r="F11" s="306"/>
      <c r="G11" s="306"/>
      <c r="H11" s="306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53" workbookViewId="0">
      <selection activeCell="F47" sqref="F47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471"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2020-10-13T06:38:22Z</cp:lastPrinted>
  <dcterms:created xsi:type="dcterms:W3CDTF">2018-09-10T07:36:17Z</dcterms:created>
  <dcterms:modified xsi:type="dcterms:W3CDTF">2021-02-16T08:40:55Z</dcterms:modified>
</cp:coreProperties>
</file>